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кол-во активов" sheetId="5" r:id="rId1"/>
    <sheet name="базовый уровень ОР" sheetId="4" r:id="rId2"/>
    <sheet name="Лист1" sheetId="1" r:id="rId3"/>
    <sheet name="Лист2" sheetId="2" r:id="rId4"/>
    <sheet name="Лист3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CVSNA_FACILITY_INDEX_GROUP">[3]TECHSHEET!$K$65:$K$68</definedName>
    <definedName name="CVSNA_HEIGHT_INDEX_GROUP">[3]TECHSHEET!$K$60:$K$62</definedName>
    <definedName name="CVSNA_VTOV">[3]TECHSHEET!$G$28:$G$29</definedName>
    <definedName name="FPOK_P1_1_1">#REF!</definedName>
    <definedName name="FPOK_P1_1_2_1">#REF!</definedName>
    <definedName name="FPOK_P1_1_2_2">#REF!</definedName>
    <definedName name="FPOK_P1_1_3">#REF!</definedName>
    <definedName name="FPOK_P1_1_4">#REF!</definedName>
    <definedName name="FPOK_P1_2">#REF!</definedName>
    <definedName name="FPOK_P1_3">#REF!</definedName>
    <definedName name="FPOK_P1_4">#REF!</definedName>
    <definedName name="FPOK_P1_5">#REF!</definedName>
    <definedName name="FPOK_P1_6_1">#REF!</definedName>
    <definedName name="FPOK_P1_6_2">#REF!</definedName>
    <definedName name="FPOK_P1_6_3">#REF!</definedName>
    <definedName name="FPOK_P1_6_4">#REF!</definedName>
    <definedName name="FPOK_P1_6_5">#REF!</definedName>
    <definedName name="FPOK_P1_7">#REF!</definedName>
    <definedName name="FPOK_P1_8">#REF!</definedName>
    <definedName name="FPOK_P11">#REF!</definedName>
    <definedName name="FPOK_P13">#REF!</definedName>
    <definedName name="FPOK_P14">#REF!</definedName>
    <definedName name="FPOK_P2">#REF!</definedName>
    <definedName name="FPOK_P2_1">#REF!</definedName>
    <definedName name="FPOK_P2_2">#REF!</definedName>
    <definedName name="FPOK_P2_3">#REF!</definedName>
    <definedName name="FPOK_P2_4">#REF!</definedName>
    <definedName name="FPOK_P3_1">#REF!</definedName>
    <definedName name="FPOK_P3_2">#REF!</definedName>
    <definedName name="FPOK_P3_3">#REF!</definedName>
    <definedName name="FPOK_P3_4">#REF!</definedName>
    <definedName name="FPOK_P3_5">#REF!</definedName>
    <definedName name="FPOK_P4">#REF!</definedName>
    <definedName name="FPOK_P5">#REF!</definedName>
    <definedName name="FPOK_P6">#REF!</definedName>
    <definedName name="FPOK_P7">#REF!</definedName>
    <definedName name="FPOK_P8">#REF!</definedName>
    <definedName name="FPOK_P9_1">#REF!</definedName>
    <definedName name="FPOK_P9_2">#REF!</definedName>
    <definedName name="FPOK_P9_3">#REF!</definedName>
    <definedName name="FPOK_P9_4">#REF!</definedName>
    <definedName name="FPOK_P9_5">#REF!</definedName>
    <definedName name="FPOK_P9_6">#REF!</definedName>
    <definedName name="FPOK_P9_7">#REF!</definedName>
    <definedName name="FPOK_P9_8">#REF!</definedName>
    <definedName name="FPOKIT_P1_1_1">#REF!</definedName>
    <definedName name="FPOKIT_P1_1_2">#REF!</definedName>
    <definedName name="FPOKIT_P1_1_2_1">#REF!</definedName>
    <definedName name="FPOKIT_P1_1_3">#REF!</definedName>
    <definedName name="FPOKIT_P1_2">#REF!</definedName>
    <definedName name="FPOKIT_P1_3">#REF!</definedName>
    <definedName name="FPOKIT_P1_4">#REF!</definedName>
    <definedName name="FPOKIT_P1_5">#REF!</definedName>
    <definedName name="FPOKIT_P1_6_1">#REF!</definedName>
    <definedName name="FPOKIT_P1_6_2">#REF!</definedName>
    <definedName name="FPOKIT_P1_6_3">#REF!</definedName>
    <definedName name="FPOKIT_P1_6_4">#REF!</definedName>
    <definedName name="FPOKIT_P1_6_5">#REF!</definedName>
    <definedName name="FPOKIT_P1_7">#REF!</definedName>
    <definedName name="FPOKIT_P1_8">#REF!</definedName>
    <definedName name="FPOKIT_P11">#REF!</definedName>
    <definedName name="FPOKIT_P12">#REF!</definedName>
    <definedName name="FPOKIT_P15">#REF!</definedName>
    <definedName name="FPOKIT_P19">#REF!</definedName>
    <definedName name="FPOKIT_P2_1">#REF!</definedName>
    <definedName name="FPOKIT_P2_2">#REF!</definedName>
    <definedName name="FPOKIT_P2_3">#REF!</definedName>
    <definedName name="FPOKIT_P2_4">#REF!</definedName>
    <definedName name="FPOKIT_P20">#REF!</definedName>
    <definedName name="FPOKIT_P21">#REF!</definedName>
    <definedName name="FPOKIT_P3_1">#REF!</definedName>
    <definedName name="FPOKIT_P3_2">#REF!</definedName>
    <definedName name="FPOKIT_P3_3">#REF!</definedName>
    <definedName name="FPOKIT_P3_4">#REF!</definedName>
    <definedName name="FPOKIT_P3_5">#REF!</definedName>
    <definedName name="FPOKIT_P4">#REF!</definedName>
    <definedName name="FPOKIT_P5">#REF!</definedName>
    <definedName name="FPOKIT_P6">#REF!</definedName>
    <definedName name="FPOKIT_P7">#REF!</definedName>
    <definedName name="FPOKIT_P8">#REF!</definedName>
    <definedName name="FPOKIT_P9_1">#REF!</definedName>
    <definedName name="FPOKIT_P9_2">#REF!</definedName>
    <definedName name="FPOKIT_P9_3">#REF!</definedName>
    <definedName name="FPOKIT_P9_4">#REF!</definedName>
    <definedName name="FPOKIT_P9_5">#REF!</definedName>
    <definedName name="FPOKIT_P9_6">#REF!</definedName>
    <definedName name="FPOKIT_P9_7">#REF!</definedName>
    <definedName name="FPOKIT_P9_8">#REF!</definedName>
    <definedName name="OKOPF_LIST">[3]LIST_OPTIONS!$B$7:$B$104</definedName>
    <definedName name="org">[5]Титульный!$D$30</definedName>
    <definedName name="PERIOD">[3]TECHSHEET!$M$8</definedName>
    <definedName name="prd">[5]Титульный!$D$21</definedName>
    <definedName name="prdDop">[5]Титульный!$D$22</definedName>
    <definedName name="quarter_col">[5]TEHSHEET!$R$4</definedName>
    <definedName name="quarter_koef">[6]TEHSHEET!$S$2</definedName>
    <definedName name="region_name">[3]Контакты!$G$10</definedName>
    <definedName name="вглдв">#REF!</definedName>
    <definedName name="лд">#REF!</definedName>
    <definedName name="лдипщж">#REF!</definedName>
    <definedName name="МР">[7]ПАС!$BC$17:$BC$41</definedName>
    <definedName name="налог">[7]ПАС!$BB$37:$BB$39</definedName>
    <definedName name="нет">[7]ПАС!$AS$3:$AS$4</definedName>
    <definedName name="новое2">#REF!</definedName>
    <definedName name="новое3">#REF!</definedName>
    <definedName name="новое4">#REF!</definedName>
    <definedName name="новое5">#REF!</definedName>
    <definedName name="новое6">#REF!</definedName>
    <definedName name="новое7">#REF!</definedName>
    <definedName name="новое8">#REF!</definedName>
    <definedName name="новое9">#REF!</definedName>
    <definedName name="новые">#REF!</definedName>
    <definedName name="_xlnm.Print_Area" localSheetId="1">'базовый уровень ОР'!$A$1:$Y$124</definedName>
    <definedName name="пит.тех">[7]ПАС!$BB$1:$BB$2</definedName>
    <definedName name="реализация">[7]ПАС!$BB$8:$BB$12</definedName>
  </definedNames>
  <calcPr calcId="125725"/>
</workbook>
</file>

<file path=xl/calcChain.xml><?xml version="1.0" encoding="utf-8"?>
<calcChain xmlns="http://schemas.openxmlformats.org/spreadsheetml/2006/main">
  <c r="L110" i="4"/>
  <c r="L109" s="1"/>
  <c r="L119"/>
  <c r="M119"/>
  <c r="K119" s="1"/>
  <c r="L120"/>
  <c r="M120"/>
  <c r="E121"/>
  <c r="I121"/>
  <c r="J121"/>
  <c r="K121"/>
  <c r="E122"/>
  <c r="I122"/>
  <c r="J122"/>
  <c r="L122"/>
  <c r="M122"/>
  <c r="E123"/>
  <c r="I123"/>
  <c r="J123"/>
  <c r="L123"/>
  <c r="M123"/>
  <c r="K123" s="1"/>
  <c r="E124"/>
  <c r="I124"/>
  <c r="J124"/>
  <c r="K124"/>
  <c r="F64" i="5"/>
  <c r="F58"/>
  <c r="E49"/>
  <c r="E50" s="1"/>
  <c r="E48"/>
  <c r="D48"/>
  <c r="D49" s="1"/>
  <c r="E47"/>
  <c r="D47"/>
  <c r="E46"/>
  <c r="D46"/>
  <c r="D37"/>
  <c r="D36"/>
  <c r="D35"/>
  <c r="D34"/>
  <c r="D33"/>
  <c r="D32"/>
  <c r="C31"/>
  <c r="D31" s="1"/>
  <c r="C30"/>
  <c r="C38" s="1"/>
  <c r="E10" s="1"/>
  <c r="I29"/>
  <c r="D29"/>
  <c r="C29"/>
  <c r="D28"/>
  <c r="C28"/>
  <c r="D27"/>
  <c r="C27"/>
  <c r="D26"/>
  <c r="C26"/>
  <c r="D25"/>
  <c r="C25"/>
  <c r="I16"/>
  <c r="J16" s="1"/>
  <c r="J15"/>
  <c r="J14"/>
  <c r="G13"/>
  <c r="J13" s="1"/>
  <c r="J12" s="1"/>
  <c r="M118" i="4"/>
  <c r="L118"/>
  <c r="J118"/>
  <c r="G118"/>
  <c r="F118"/>
  <c r="E118" s="1"/>
  <c r="K117"/>
  <c r="J117"/>
  <c r="I117"/>
  <c r="E117"/>
  <c r="M116"/>
  <c r="L116"/>
  <c r="K116" s="1"/>
  <c r="J116"/>
  <c r="I116"/>
  <c r="H116" s="1"/>
  <c r="E116"/>
  <c r="J115"/>
  <c r="I115"/>
  <c r="H115" s="1"/>
  <c r="E115"/>
  <c r="K114"/>
  <c r="L113"/>
  <c r="K113"/>
  <c r="L112"/>
  <c r="K112"/>
  <c r="L111"/>
  <c r="K111" s="1"/>
  <c r="J111"/>
  <c r="J110" s="1"/>
  <c r="J109" s="1"/>
  <c r="I111"/>
  <c r="E111"/>
  <c r="M110"/>
  <c r="K110" s="1"/>
  <c r="G110"/>
  <c r="F110"/>
  <c r="G109"/>
  <c r="K108"/>
  <c r="J108"/>
  <c r="I108"/>
  <c r="E108"/>
  <c r="K107"/>
  <c r="J107"/>
  <c r="I107"/>
  <c r="E107"/>
  <c r="K106"/>
  <c r="J106"/>
  <c r="I106"/>
  <c r="E106"/>
  <c r="K105"/>
  <c r="J105"/>
  <c r="I105"/>
  <c r="E105"/>
  <c r="L104"/>
  <c r="K104" s="1"/>
  <c r="J104"/>
  <c r="J103" s="1"/>
  <c r="I104"/>
  <c r="E104"/>
  <c r="E103" s="1"/>
  <c r="M103"/>
  <c r="G103"/>
  <c r="F103"/>
  <c r="K102"/>
  <c r="K101"/>
  <c r="L100"/>
  <c r="K100" s="1"/>
  <c r="L99"/>
  <c r="K99" s="1"/>
  <c r="K98"/>
  <c r="J98"/>
  <c r="I98"/>
  <c r="H98" s="1"/>
  <c r="E98"/>
  <c r="M97"/>
  <c r="L97"/>
  <c r="J97"/>
  <c r="J96" s="1"/>
  <c r="I97"/>
  <c r="H97"/>
  <c r="E97"/>
  <c r="M96"/>
  <c r="G96"/>
  <c r="F96"/>
  <c r="K95"/>
  <c r="J95"/>
  <c r="I95"/>
  <c r="H95" s="1"/>
  <c r="E95"/>
  <c r="K94"/>
  <c r="J94"/>
  <c r="J93" s="1"/>
  <c r="I94"/>
  <c r="E94"/>
  <c r="M93"/>
  <c r="L93"/>
  <c r="G93"/>
  <c r="F93"/>
  <c r="K92"/>
  <c r="L91"/>
  <c r="K91" s="1"/>
  <c r="J91"/>
  <c r="I91"/>
  <c r="E91"/>
  <c r="L90"/>
  <c r="K90" s="1"/>
  <c r="J90"/>
  <c r="J89" s="1"/>
  <c r="I90"/>
  <c r="E90"/>
  <c r="M89"/>
  <c r="G89"/>
  <c r="F89"/>
  <c r="L88"/>
  <c r="K88" s="1"/>
  <c r="K87"/>
  <c r="J87"/>
  <c r="I87"/>
  <c r="E87"/>
  <c r="K86"/>
  <c r="J86"/>
  <c r="I86"/>
  <c r="E86"/>
  <c r="K85"/>
  <c r="J85"/>
  <c r="J84" s="1"/>
  <c r="I85"/>
  <c r="E85"/>
  <c r="M84"/>
  <c r="L84"/>
  <c r="K84" s="1"/>
  <c r="G84"/>
  <c r="F84"/>
  <c r="F82" s="1"/>
  <c r="K83"/>
  <c r="J83"/>
  <c r="I83"/>
  <c r="E83"/>
  <c r="M81"/>
  <c r="L81"/>
  <c r="K81" s="1"/>
  <c r="J81"/>
  <c r="I81"/>
  <c r="E81"/>
  <c r="L80"/>
  <c r="K80" s="1"/>
  <c r="L79"/>
  <c r="K79" s="1"/>
  <c r="J79"/>
  <c r="I79"/>
  <c r="E79"/>
  <c r="M78"/>
  <c r="L78"/>
  <c r="J78"/>
  <c r="I78"/>
  <c r="H78" s="1"/>
  <c r="E78"/>
  <c r="L77"/>
  <c r="K77" s="1"/>
  <c r="J77"/>
  <c r="I77"/>
  <c r="I76" s="1"/>
  <c r="E77"/>
  <c r="M76"/>
  <c r="G76"/>
  <c r="F76"/>
  <c r="M75"/>
  <c r="M74" s="1"/>
  <c r="L75"/>
  <c r="J75"/>
  <c r="I75"/>
  <c r="E75"/>
  <c r="G74"/>
  <c r="J74" s="1"/>
  <c r="K73"/>
  <c r="J73"/>
  <c r="I73"/>
  <c r="H73"/>
  <c r="E73"/>
  <c r="M72"/>
  <c r="L72"/>
  <c r="G72"/>
  <c r="F72"/>
  <c r="D72"/>
  <c r="K71"/>
  <c r="H71"/>
  <c r="E71"/>
  <c r="K70"/>
  <c r="E70"/>
  <c r="I70" s="1"/>
  <c r="K69"/>
  <c r="M68"/>
  <c r="L68"/>
  <c r="J68"/>
  <c r="I68"/>
  <c r="G68"/>
  <c r="F68"/>
  <c r="D68"/>
  <c r="K67"/>
  <c r="H67"/>
  <c r="E67"/>
  <c r="K66"/>
  <c r="H66"/>
  <c r="E66"/>
  <c r="K65"/>
  <c r="J65"/>
  <c r="I65"/>
  <c r="H65" s="1"/>
  <c r="E65"/>
  <c r="M64"/>
  <c r="L64"/>
  <c r="J64"/>
  <c r="I64"/>
  <c r="G64"/>
  <c r="D64"/>
  <c r="K63"/>
  <c r="K64" s="1"/>
  <c r="H63"/>
  <c r="E63"/>
  <c r="K62"/>
  <c r="H62"/>
  <c r="G62"/>
  <c r="F62"/>
  <c r="M60"/>
  <c r="L60"/>
  <c r="J60"/>
  <c r="I60"/>
  <c r="G60"/>
  <c r="F60"/>
  <c r="D60"/>
  <c r="M59"/>
  <c r="L59"/>
  <c r="I59"/>
  <c r="I61" s="1"/>
  <c r="G59"/>
  <c r="D59"/>
  <c r="D61" s="1"/>
  <c r="M58"/>
  <c r="K58" s="1"/>
  <c r="M57"/>
  <c r="K57" s="1"/>
  <c r="M56"/>
  <c r="L55"/>
  <c r="K54"/>
  <c r="K53"/>
  <c r="K52"/>
  <c r="K51"/>
  <c r="L50"/>
  <c r="K50" s="1"/>
  <c r="M49"/>
  <c r="K49" s="1"/>
  <c r="I49"/>
  <c r="H49" s="1"/>
  <c r="E49"/>
  <c r="M48"/>
  <c r="K48"/>
  <c r="I48"/>
  <c r="H48" s="1"/>
  <c r="E48"/>
  <c r="M47"/>
  <c r="J47"/>
  <c r="I47"/>
  <c r="H47" s="1"/>
  <c r="G47"/>
  <c r="F47"/>
  <c r="E47" s="1"/>
  <c r="M46"/>
  <c r="L46"/>
  <c r="K45"/>
  <c r="H45"/>
  <c r="G45"/>
  <c r="F45"/>
  <c r="E45" s="1"/>
  <c r="L44"/>
  <c r="K44" s="1"/>
  <c r="H44"/>
  <c r="G44"/>
  <c r="F44"/>
  <c r="E44" s="1"/>
  <c r="K43"/>
  <c r="H43"/>
  <c r="G43"/>
  <c r="F43"/>
  <c r="K42"/>
  <c r="H42"/>
  <c r="G42"/>
  <c r="F42"/>
  <c r="M41"/>
  <c r="L41"/>
  <c r="H41"/>
  <c r="G41"/>
  <c r="F41"/>
  <c r="M40"/>
  <c r="L40"/>
  <c r="H40"/>
  <c r="G40"/>
  <c r="F40"/>
  <c r="K39"/>
  <c r="H39"/>
  <c r="G39"/>
  <c r="F39"/>
  <c r="L38"/>
  <c r="K38" s="1"/>
  <c r="H38"/>
  <c r="G38"/>
  <c r="F38"/>
  <c r="M37"/>
  <c r="L37"/>
  <c r="K37" s="1"/>
  <c r="H37"/>
  <c r="G37"/>
  <c r="F37"/>
  <c r="E37" s="1"/>
  <c r="M36"/>
  <c r="L36"/>
  <c r="H36"/>
  <c r="G36"/>
  <c r="F36"/>
  <c r="L35"/>
  <c r="K35" s="1"/>
  <c r="H35"/>
  <c r="G35"/>
  <c r="F35"/>
  <c r="M34"/>
  <c r="L34"/>
  <c r="K34" s="1"/>
  <c r="H34"/>
  <c r="G34"/>
  <c r="F34"/>
  <c r="E34" s="1"/>
  <c r="M33"/>
  <c r="L33"/>
  <c r="H33"/>
  <c r="G33"/>
  <c r="F33"/>
  <c r="M32"/>
  <c r="L32"/>
  <c r="K32" s="1"/>
  <c r="H32"/>
  <c r="G32"/>
  <c r="F32"/>
  <c r="E32" s="1"/>
  <c r="M31"/>
  <c r="L31"/>
  <c r="H31"/>
  <c r="G31"/>
  <c r="F31"/>
  <c r="M30"/>
  <c r="L30"/>
  <c r="K30" s="1"/>
  <c r="H30"/>
  <c r="G30"/>
  <c r="F30"/>
  <c r="E30" s="1"/>
  <c r="M29"/>
  <c r="L29"/>
  <c r="H29"/>
  <c r="G29"/>
  <c r="F29"/>
  <c r="L28"/>
  <c r="K28" s="1"/>
  <c r="H28"/>
  <c r="G28"/>
  <c r="F28"/>
  <c r="K27"/>
  <c r="H27"/>
  <c r="G27"/>
  <c r="F27"/>
  <c r="M26"/>
  <c r="L26"/>
  <c r="K26" s="1"/>
  <c r="H26"/>
  <c r="G26"/>
  <c r="F26"/>
  <c r="M25"/>
  <c r="L25"/>
  <c r="K25"/>
  <c r="H25"/>
  <c r="G25"/>
  <c r="E25" s="1"/>
  <c r="F25"/>
  <c r="M24"/>
  <c r="L24"/>
  <c r="H24"/>
  <c r="G24"/>
  <c r="F24"/>
  <c r="M23"/>
  <c r="L23"/>
  <c r="K23" s="1"/>
  <c r="H23"/>
  <c r="G23"/>
  <c r="F23"/>
  <c r="J22"/>
  <c r="I22"/>
  <c r="H22"/>
  <c r="D21"/>
  <c r="K59" l="1"/>
  <c r="E96"/>
  <c r="E23"/>
  <c r="E27"/>
  <c r="K29"/>
  <c r="K31"/>
  <c r="K33"/>
  <c r="K36"/>
  <c r="K40"/>
  <c r="E41"/>
  <c r="L61"/>
  <c r="H75"/>
  <c r="E93"/>
  <c r="M82"/>
  <c r="H94"/>
  <c r="L103"/>
  <c r="K103" s="1"/>
  <c r="H124"/>
  <c r="H123"/>
  <c r="H122"/>
  <c r="K120"/>
  <c r="K122"/>
  <c r="H121"/>
  <c r="E76"/>
  <c r="F74"/>
  <c r="F22"/>
  <c r="G22"/>
  <c r="M22"/>
  <c r="K24"/>
  <c r="E40"/>
  <c r="E42"/>
  <c r="E43"/>
  <c r="G61"/>
  <c r="E60"/>
  <c r="K60"/>
  <c r="K61" s="1"/>
  <c r="L89"/>
  <c r="H118"/>
  <c r="F109"/>
  <c r="E109" s="1"/>
  <c r="E68"/>
  <c r="K68"/>
  <c r="H77"/>
  <c r="H79"/>
  <c r="H83"/>
  <c r="G82"/>
  <c r="H86"/>
  <c r="H87"/>
  <c r="E89"/>
  <c r="H90"/>
  <c r="I96"/>
  <c r="K97"/>
  <c r="H105"/>
  <c r="H106"/>
  <c r="H107"/>
  <c r="H108"/>
  <c r="E110"/>
  <c r="L22"/>
  <c r="E24"/>
  <c r="E26"/>
  <c r="E28"/>
  <c r="E29"/>
  <c r="E31"/>
  <c r="E33"/>
  <c r="E35"/>
  <c r="E36"/>
  <c r="E38"/>
  <c r="E39"/>
  <c r="K41"/>
  <c r="K46"/>
  <c r="M61"/>
  <c r="J70"/>
  <c r="E72"/>
  <c r="K72"/>
  <c r="K75"/>
  <c r="J76"/>
  <c r="K78"/>
  <c r="H81"/>
  <c r="H76" s="1"/>
  <c r="E84"/>
  <c r="H85"/>
  <c r="H84" s="1"/>
  <c r="K89"/>
  <c r="H91"/>
  <c r="K93"/>
  <c r="H104"/>
  <c r="M109"/>
  <c r="M21" s="1"/>
  <c r="H60"/>
  <c r="E82"/>
  <c r="J82"/>
  <c r="H111"/>
  <c r="H110" s="1"/>
  <c r="H117"/>
  <c r="E11" i="5"/>
  <c r="J10"/>
  <c r="D30"/>
  <c r="D38" s="1"/>
  <c r="D39" s="1"/>
  <c r="F11" s="1"/>
  <c r="J11" s="1"/>
  <c r="E22" i="4"/>
  <c r="K56"/>
  <c r="F64"/>
  <c r="E62"/>
  <c r="F59"/>
  <c r="F61" s="1"/>
  <c r="H64"/>
  <c r="I72"/>
  <c r="J72"/>
  <c r="J59"/>
  <c r="J61" s="1"/>
  <c r="K55"/>
  <c r="L47"/>
  <c r="K47" s="1"/>
  <c r="H68"/>
  <c r="H70"/>
  <c r="H72" s="1"/>
  <c r="H89"/>
  <c r="K118"/>
  <c r="L76"/>
  <c r="K76" s="1"/>
  <c r="I84"/>
  <c r="I89"/>
  <c r="I93"/>
  <c r="H93" s="1"/>
  <c r="L96"/>
  <c r="I103"/>
  <c r="H103" s="1"/>
  <c r="I110"/>
  <c r="I118"/>
  <c r="K22" l="1"/>
  <c r="G21"/>
  <c r="K109"/>
  <c r="K21" s="1"/>
  <c r="P21"/>
  <c r="I74"/>
  <c r="H74" s="1"/>
  <c r="E74"/>
  <c r="I82"/>
  <c r="H96"/>
  <c r="H82" s="1"/>
  <c r="J8" i="5"/>
  <c r="J17" s="1"/>
  <c r="K96" i="4"/>
  <c r="L82"/>
  <c r="K82" s="1"/>
  <c r="I109"/>
  <c r="H109" s="1"/>
  <c r="L74"/>
  <c r="K74" s="1"/>
  <c r="H59"/>
  <c r="H61" s="1"/>
  <c r="J21"/>
  <c r="F69"/>
  <c r="E64"/>
  <c r="E59"/>
  <c r="E61" s="1"/>
  <c r="S21"/>
  <c r="F21"/>
  <c r="V21" l="1"/>
  <c r="G69"/>
  <c r="J69" s="1"/>
  <c r="I69"/>
  <c r="E69"/>
  <c r="L21"/>
  <c r="E21"/>
  <c r="I21"/>
  <c r="H21" l="1"/>
  <c r="O21"/>
  <c r="Y21"/>
  <c r="H69"/>
  <c r="R21" l="1"/>
  <c r="N21"/>
  <c r="U21" l="1"/>
  <c r="Q21"/>
  <c r="X21" l="1"/>
  <c r="T21"/>
  <c r="W21" l="1"/>
</calcChain>
</file>

<file path=xl/sharedStrings.xml><?xml version="1.0" encoding="utf-8"?>
<sst xmlns="http://schemas.openxmlformats.org/spreadsheetml/2006/main" count="697" uniqueCount="251">
  <si>
    <t>Приложение 4</t>
  </si>
  <si>
    <t>Форма 3</t>
  </si>
  <si>
    <t>Смета расходов, связанных с производством и передачей тепловой энергии  МУП "Федоровское ЖКХ"  на территории городского поселения Федоровский на 2019 - 2023 годы в сфере теплоснабжения</t>
  </si>
  <si>
    <t>Показатели</t>
  </si>
  <si>
    <t>Ед. изм.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</si>
  <si>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</si>
  <si>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</si>
  <si>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</si>
  <si>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</si>
  <si>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</si>
  <si>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</si>
  <si>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</si>
  <si>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Тариф</t>
  </si>
  <si>
    <t xml:space="preserve">Факт </t>
  </si>
  <si>
    <t xml:space="preserve"> Ожидаемый</t>
  </si>
  <si>
    <t>Предложено предприятием</t>
  </si>
  <si>
    <t>ВСЕГО, в т.ч.</t>
  </si>
  <si>
    <t>Производство</t>
  </si>
  <si>
    <t>Передача</t>
  </si>
  <si>
    <t>5.1.</t>
  </si>
  <si>
    <t>5.2.</t>
  </si>
  <si>
    <t>6.1.</t>
  </si>
  <si>
    <t>6.2.</t>
  </si>
  <si>
    <t>7.1.</t>
  </si>
  <si>
    <t>7.2.</t>
  </si>
  <si>
    <t>8.1.</t>
  </si>
  <si>
    <t>8.2.</t>
  </si>
  <si>
    <t>9.1.</t>
  </si>
  <si>
    <t>9.2.</t>
  </si>
  <si>
    <t>Раздел 1. Параметры для расчета расходов (индексы)</t>
  </si>
  <si>
    <t xml:space="preserve">Индекс потребительских цен </t>
  </si>
  <si>
    <t>%</t>
  </si>
  <si>
    <t>Индекс эффективности операционных расходов установленный</t>
  </si>
  <si>
    <t xml:space="preserve">Индекс изменения количества активов </t>
  </si>
  <si>
    <t>х</t>
  </si>
  <si>
    <t>3.1.</t>
  </si>
  <si>
    <t>Производство т/э</t>
  </si>
  <si>
    <t>Установленная тепловая мощность источника т/э</t>
  </si>
  <si>
    <t>Гкал/ч</t>
  </si>
  <si>
    <t>3.2.</t>
  </si>
  <si>
    <t>Передача т/э</t>
  </si>
  <si>
    <t>Количество условных единиц</t>
  </si>
  <si>
    <t>у.е.</t>
  </si>
  <si>
    <t>Коэффициент эластичности затрат по росту активов (Кэл)</t>
  </si>
  <si>
    <t>Коэффициент индексации операционных расходов</t>
  </si>
  <si>
    <t>Раздел 2. Калькуляция</t>
  </si>
  <si>
    <t>Операционные расходы</t>
  </si>
  <si>
    <t>тыс.руб.</t>
  </si>
  <si>
    <t>1.1.</t>
  </si>
  <si>
    <t>Расходы на приобретение сырья и материалов</t>
  </si>
  <si>
    <t>Х</t>
  </si>
  <si>
    <t>Материалы для текущих хозяйственных целей</t>
  </si>
  <si>
    <t xml:space="preserve">Обмундирование </t>
  </si>
  <si>
    <t>Материалы для противопожарных мероприятий</t>
  </si>
  <si>
    <t>Инструменты</t>
  </si>
  <si>
    <t>Pасходные материалы для оргтехники</t>
  </si>
  <si>
    <t>Специальное топливо, ГСМ</t>
  </si>
  <si>
    <t>Материалы на текущий ремонт оборудования и инвентаря</t>
  </si>
  <si>
    <t>Материалы на технологические цели</t>
  </si>
  <si>
    <t>Материалы на текущий ремонт зданий и сооружений</t>
  </si>
  <si>
    <t>Материалы для обслуживания электрооборудования</t>
  </si>
  <si>
    <t>Мыло</t>
  </si>
  <si>
    <t>Аптечки</t>
  </si>
  <si>
    <t>Крем</t>
  </si>
  <si>
    <t>Средства защиты от укусов насекомых</t>
  </si>
  <si>
    <t xml:space="preserve">Поставка манометров </t>
  </si>
  <si>
    <t xml:space="preserve">Приобретение расходомера воды на котлы </t>
  </si>
  <si>
    <t>Расходные материалы для приборов учета</t>
  </si>
  <si>
    <t>Кислород</t>
  </si>
  <si>
    <t>Пропан</t>
  </si>
  <si>
    <t>Мебель</t>
  </si>
  <si>
    <t>Запчасти</t>
  </si>
  <si>
    <t>Аккумуляторы</t>
  </si>
  <si>
    <t xml:space="preserve">спирт технический </t>
  </si>
  <si>
    <t xml:space="preserve">Чистящие и моющие средства </t>
  </si>
  <si>
    <t>1.2.</t>
  </si>
  <si>
    <t>Расходы на ремонт основных средств</t>
  </si>
  <si>
    <t>Техническое обслуживание сетей</t>
  </si>
  <si>
    <t>Текущий ремонт сетей</t>
  </si>
  <si>
    <t>Пусконаладочные работы и режимно-наладочные испытания котла КВГМ-30-150, зав.№9818, рег.№2 Котельная №1А п.Федоровский</t>
  </si>
  <si>
    <t>РНИ Котла ДЕВ-25-14, рег№1 Котельная 1А</t>
  </si>
  <si>
    <t>РНИ Котла ДЕВ-25-14, рег№2 Котельная 1А</t>
  </si>
  <si>
    <t>РНИ Котла ДЕВ-25-14, рег№4 Котельная 1А</t>
  </si>
  <si>
    <t>РНИ Котла КВГМ - 30-150, рег№1 Котельная 1А</t>
  </si>
  <si>
    <t>Приобретение насоса 1Д1250/125</t>
  </si>
  <si>
    <t>Приобретение Теплообменника Alfa Laval M15 -BFM</t>
  </si>
  <si>
    <t>Приобретение насоса WILO IL 125/320-18,5/4-К3</t>
  </si>
  <si>
    <t>Приобретение насоса WILO BL 40/160-5,5/2</t>
  </si>
  <si>
    <t>1.3.</t>
  </si>
  <si>
    <t>Расходы на оплату труда</t>
  </si>
  <si>
    <t>Численность</t>
  </si>
  <si>
    <t>чел.</t>
  </si>
  <si>
    <t>Средняя зарплата в месяц</t>
  </si>
  <si>
    <t>руб.</t>
  </si>
  <si>
    <t>1.3.1.</t>
  </si>
  <si>
    <t>ОПР</t>
  </si>
  <si>
    <t>Льготный проезд к месту отдыха</t>
  </si>
  <si>
    <t>1.3.2.</t>
  </si>
  <si>
    <t>Цеховые</t>
  </si>
  <si>
    <t>1.3.3.</t>
  </si>
  <si>
    <t>АУП</t>
  </si>
  <si>
    <t>1.4.</t>
  </si>
  <si>
    <t xml:space="preserve">Расходы на оплату работ и услуг производственного характера, выполняемых по договорам со сторонними организациями </t>
  </si>
  <si>
    <t>1.4.1.</t>
  </si>
  <si>
    <t>Транспортные расходы связанные с обслуживанием производственных объектов</t>
  </si>
  <si>
    <t>1.4.2.</t>
  </si>
  <si>
    <t>Расходы по содержанию и эксплуатации оборудования</t>
  </si>
  <si>
    <t>Техническое обслуживание приборов учета газа</t>
  </si>
  <si>
    <t xml:space="preserve">Поверка, калибровка приборов учета МУП "Федоровское ЖКХ" </t>
  </si>
  <si>
    <t>Техническое обслуживание приборов учета ТЭ</t>
  </si>
  <si>
    <t>Поверка средств измерений Узлов учета  МУП ФЖКХ</t>
  </si>
  <si>
    <t>Перемотка электродвигателей</t>
  </si>
  <si>
    <t>1.5.</t>
  </si>
  <si>
    <t>Расходы на оплату иных работ и услуг, выполняемых по договорам с организациями</t>
  </si>
  <si>
    <t>1.5.1.</t>
  </si>
  <si>
    <t>Расходы на оплату услуг связи</t>
  </si>
  <si>
    <t>1.5.2.</t>
  </si>
  <si>
    <t>Расходы на оплату вневедомственной охраны</t>
  </si>
  <si>
    <t>Техническое обслуживание автоматических установок охранно-пожарной сигнализации</t>
  </si>
  <si>
    <t>Услуги по контролю за состоянием тревожной сигнализиции Охрана объектов КТС (выезд вневед.охраны)</t>
  </si>
  <si>
    <t xml:space="preserve">Техническое обслуживание охранной и тревожной сигнализации </t>
  </si>
  <si>
    <t>Оказание охранных услуг МУП "Федоровское ЖКХ"</t>
  </si>
  <si>
    <t>1.5.3.</t>
  </si>
  <si>
    <t>Расходы на оплату коммунальных услуг</t>
  </si>
  <si>
    <t>Сбор и вывоз ТБО, КБО (нужды предприятия)</t>
  </si>
  <si>
    <t>Утилизация ТБО, КБО (нужды предприятия)</t>
  </si>
  <si>
    <t>Дератизация и  дезинсекция</t>
  </si>
  <si>
    <t>1.5.4.</t>
  </si>
  <si>
    <t>Расходы на оплату юридических, информационных, аудиторских и консультационных услуг</t>
  </si>
  <si>
    <t>Информационно-консультативные услуги</t>
  </si>
  <si>
    <t>Услуги аудиторской компании</t>
  </si>
  <si>
    <t>1.5.5.</t>
  </si>
  <si>
    <t>Расходы на оплату других работ и услуг</t>
  </si>
  <si>
    <t>Микробиологическое исследования</t>
  </si>
  <si>
    <t>Зарядка, испытание  и ремонт огнетушителей</t>
  </si>
  <si>
    <t xml:space="preserve">Услуги по транспортировке и утилизации ртутьсодержащих ламп </t>
  </si>
  <si>
    <t xml:space="preserve">Определение содержания загрязняющих веществ в промвыбросах от котельной </t>
  </si>
  <si>
    <t xml:space="preserve">Разработка проекта нормативов ПДВ загрязняющих веществ атмосферу </t>
  </si>
  <si>
    <t xml:space="preserve">Разработка проекта нормативов образования отходов и лимитов на их размещение </t>
  </si>
  <si>
    <t>1.5.6.</t>
  </si>
  <si>
    <t>Прочие</t>
  </si>
  <si>
    <t>Расходы на проезд рабочих вахтовиков к месту работы</t>
  </si>
  <si>
    <t>Услуги банка</t>
  </si>
  <si>
    <t>1.6.</t>
  </si>
  <si>
    <t>Расходы на служебные командировки</t>
  </si>
  <si>
    <t>1.7.</t>
  </si>
  <si>
    <t>Расходы на обучение персонала</t>
  </si>
  <si>
    <t>1.8.</t>
  </si>
  <si>
    <t>Лизинговый платеж, арендная плата</t>
  </si>
  <si>
    <t>1.9.</t>
  </si>
  <si>
    <t>Другие расходы, не относящиеся к неподконтрольным расходам</t>
  </si>
  <si>
    <t>1.9.1.</t>
  </si>
  <si>
    <t>Расходы по охране труда и технике безопасности.</t>
  </si>
  <si>
    <t>Проведение профосмотров</t>
  </si>
  <si>
    <t xml:space="preserve">Проведение психиатрических освидетельствований </t>
  </si>
  <si>
    <t>Оснащение аварийно-ремонтных бригад для ликвидации черезвучайных ситуаций  МУП "Федоровское ЖКХ"</t>
  </si>
  <si>
    <t>Страхование опасных производственных объектов</t>
  </si>
  <si>
    <t>Экспертиза по промышленной безопасности</t>
  </si>
  <si>
    <t>1.9.2.</t>
  </si>
  <si>
    <t>Расходы на канцелярские товары.</t>
  </si>
  <si>
    <t>1.9.3.</t>
  </si>
  <si>
    <t xml:space="preserve">Актуализация электронных моделей и схем теплоснабжения в административных границах муницип.образования гп Федоровский </t>
  </si>
  <si>
    <t>ПСД</t>
  </si>
  <si>
    <t xml:space="preserve">Оплата 3-х больних дней </t>
  </si>
  <si>
    <t>-распределение расходов по лаборатории хим.анализа</t>
  </si>
  <si>
    <t xml:space="preserve"> -распределение расходов ЦЭРЭО</t>
  </si>
  <si>
    <t>Общехозяйственные расходы</t>
  </si>
  <si>
    <t>тыс. Гкал</t>
  </si>
  <si>
    <t>4.</t>
  </si>
  <si>
    <t>Форма 1.3.</t>
  </si>
  <si>
    <t>I. Количество активов в отношении деятельности по передаче тепловой энергии, теплоносителя на 2019 год</t>
  </si>
  <si>
    <t xml:space="preserve">Расчет количества условных единиц (далее - у.е.), относимых к активам организации, осуществляющей деятельность по передаче тепловой энергии, теплоносителя (далее - ПТС) </t>
  </si>
  <si>
    <t>№ п/п</t>
  </si>
  <si>
    <t>Наименование показателей</t>
  </si>
  <si>
    <t>Кол-во у.е. на единицу измерения</t>
  </si>
  <si>
    <t>Общая протяженность, км</t>
  </si>
  <si>
    <t>Средний диаметр, мм</t>
  </si>
  <si>
    <t>Кол-во тепловых узлов, шт.</t>
  </si>
  <si>
    <t>Кол-во насосных станций, шт.</t>
  </si>
  <si>
    <t>Присоединенная тепловая мощность, Гкал/час</t>
  </si>
  <si>
    <t>Кол-во у.е.</t>
  </si>
  <si>
    <t>1.</t>
  </si>
  <si>
    <t>Двухтрубная тепломагистраль на балансе предприятий средним диаметром*</t>
  </si>
  <si>
    <t>диам. ср. = 100 мм</t>
  </si>
  <si>
    <t>1 км</t>
  </si>
  <si>
    <t>на каждый следующий 1 мм среднего диаметра тепломагистрали</t>
  </si>
  <si>
    <t>2.</t>
  </si>
  <si>
    <t>Тепловые узлы на балансе ПТС**</t>
  </si>
  <si>
    <t>количество тепловых узлов</t>
  </si>
  <si>
    <t>1 пт</t>
  </si>
  <si>
    <t>Подкачивающие насосные станции***</t>
  </si>
  <si>
    <t>количество насосных станций</t>
  </si>
  <si>
    <t>1 станция</t>
  </si>
  <si>
    <t>Расчетная присоединительная тепловая мощность по трубопроводам на балансе ПТС</t>
  </si>
  <si>
    <t>1 Гкал/час</t>
  </si>
  <si>
    <t>5.</t>
  </si>
  <si>
    <t>Итого:</t>
  </si>
  <si>
    <t>* В соответствии с расчетом среднего диаметра тепломагистрали в двухтрубном исчислении.</t>
  </si>
  <si>
    <t>** В соответствии с перечнем тепловых узлов.</t>
  </si>
  <si>
    <t>*** Подкачивающие насосные станции, предназначенные для перекачки сетевой воды, расположены на магистральных тепловых сетях и находятся на балансе ПТС.</t>
  </si>
  <si>
    <t xml:space="preserve">Расчет среднего диаметра тепломагистрали в двухтрубном исчислении </t>
  </si>
  <si>
    <t>Перечень тепловых узлов*</t>
  </si>
  <si>
    <t>Диаметр трубопровода, мм</t>
  </si>
  <si>
    <t>Длина трубопровода, м</t>
  </si>
  <si>
    <t>Материальная характеристика сети, м               (гр.3 х гр.2)</t>
  </si>
  <si>
    <t>Вид теплового узла</t>
  </si>
  <si>
    <t>Количество тепловых узлов, шт.</t>
  </si>
  <si>
    <t>Место нахождение теплового узла</t>
  </si>
  <si>
    <t>Центральные тепловые пункты</t>
  </si>
  <si>
    <t>г.п. Федоровский</t>
  </si>
  <si>
    <t>1</t>
  </si>
  <si>
    <t>Групповые тепловые пункты</t>
  </si>
  <si>
    <t xml:space="preserve"> х </t>
  </si>
  <si>
    <t>2</t>
  </si>
  <si>
    <t>Узлы присоединения жилых, общественных и промышленных зданий</t>
  </si>
  <si>
    <t>3</t>
  </si>
  <si>
    <t>4</t>
  </si>
  <si>
    <t>5</t>
  </si>
  <si>
    <t>6</t>
  </si>
  <si>
    <t>*Тепловыми узлами считаются центральные, групповые тепловые пункты, узлы присоединения жилых, общественных и промышленных зданий, требующие контроля и регулирования со стороны ПТС.</t>
  </si>
  <si>
    <t>7</t>
  </si>
  <si>
    <t>8</t>
  </si>
  <si>
    <t>Итого средний диаметр                                       (итого по гр.4/итого по гр. 3):</t>
  </si>
  <si>
    <t>1. Средний диаметр рассчитывается как средневзвешенная величина исходя из соответствующих диаметров и длин участков сетей.</t>
  </si>
  <si>
    <t>2. Для однотрубных участков теплопроводов вводятся коэффициенты 0,75, для трехтрубных - 1,25 и для четырехтрубных - 1,5.</t>
  </si>
  <si>
    <t>3. При разных диаметрах подающих и обратных теплопроводов паропроводов и конденсатопроводов объем в условных единицах принимается по наибольшему диаметру.</t>
  </si>
  <si>
    <t>Расчетная присоединительная тепловая мощность по трубопроводам на балансе ПТС*</t>
  </si>
  <si>
    <t>Группа потребителей</t>
  </si>
  <si>
    <t>Количество потребителей, ед.</t>
  </si>
  <si>
    <t>Бюджетные потребители</t>
  </si>
  <si>
    <t>Население</t>
  </si>
  <si>
    <t>Прочие потребители</t>
  </si>
  <si>
    <t>Собственное потребление</t>
  </si>
  <si>
    <t xml:space="preserve"> х</t>
  </si>
  <si>
    <t>* суммарная проектная максимальная (расчетная) часовая тепловая нагрузка (мощность) для всех систем теплопотребления, присоединенных к тепловой сети ТСО</t>
  </si>
  <si>
    <t>II. Количество активов в отношении деятельности по производству тепловой энергии (мощности) на 2019 год</t>
  </si>
  <si>
    <t xml:space="preserve">Установленная тепловая мощность источников тепловой энергии ТСО, Гкал/час </t>
  </si>
  <si>
    <t>Источник теплоснабжения</t>
  </si>
  <si>
    <t>Адрес объекта</t>
  </si>
  <si>
    <t xml:space="preserve">Наименование котла </t>
  </si>
  <si>
    <t>Значение мощности котлов, Гкал/час</t>
  </si>
  <si>
    <t>Суммарная установленная мощность источника т/э, Гкал/час</t>
  </si>
  <si>
    <t>Котельная  №1А</t>
  </si>
  <si>
    <t>котел ДЕВ-25-14ГМ ст№1</t>
  </si>
  <si>
    <t>котел ДЕВ-25-14ГМ ст№2</t>
  </si>
  <si>
    <t>котел ДЕВ-25-14ГМ ст№3</t>
  </si>
  <si>
    <t>котел ДЕВ-25-14ГМ ст№4</t>
  </si>
  <si>
    <t>котел КВГМ -30-ст.№1</t>
  </si>
  <si>
    <t>котел КВГМ -30-ст.№2</t>
  </si>
  <si>
    <t>Итого установленная тепловая мощность источников т/э ТСО:</t>
  </si>
  <si>
    <t>x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</si>
</sst>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"/>
    <numFmt numFmtId="166" formatCode="0.0%"/>
    <numFmt numFmtId="167" formatCode="#,##0.00_ ;\-#,##0.00\ "/>
    <numFmt numFmtId="170" formatCode="_-* #,##0.00[$€-1]_-;\-* #,##0.00[$€-1]_-;_-* &quot;-&quot;??[$€-1]_-"/>
    <numFmt numFmtId="171" formatCode="&quot;$&quot;#,##0_);[Red]\(&quot;$&quot;#,##0\)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Times New Roman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1"/>
      <name val="Tahoma"/>
      <family val="2"/>
      <charset val="204"/>
    </font>
    <font>
      <sz val="8"/>
      <color indexed="11"/>
      <name val="Tahoma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2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</borders>
  <cellStyleXfs count="64">
    <xf numFmtId="0" fontId="0" fillId="0" borderId="0"/>
    <xf numFmtId="0" fontId="2" fillId="0" borderId="0"/>
    <xf numFmtId="43" fontId="10" fillId="0" borderId="0" applyFont="0" applyFill="0" applyBorder="0" applyAlignment="0" applyProtection="0"/>
    <xf numFmtId="0" fontId="11" fillId="0" borderId="0"/>
    <xf numFmtId="41" fontId="2" fillId="0" borderId="0" applyFont="0" applyFill="0" applyBorder="0" applyAlignment="0" applyProtection="0"/>
    <xf numFmtId="0" fontId="20" fillId="0" borderId="0"/>
    <xf numFmtId="170" fontId="20" fillId="0" borderId="0"/>
    <xf numFmtId="0" fontId="21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3" fillId="0" borderId="16" applyNumberFormat="0" applyAlignment="0">
      <protection locked="0"/>
    </xf>
    <xf numFmtId="171" fontId="24" fillId="0" borderId="0" applyFont="0" applyFill="0" applyBorder="0" applyAlignment="0" applyProtection="0"/>
    <xf numFmtId="0" fontId="25" fillId="0" borderId="0" applyFill="0" applyBorder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10" borderId="16" applyNumberFormat="0" applyAlignment="0"/>
    <xf numFmtId="0" fontId="23" fillId="11" borderId="16" applyNumberFormat="0" applyAlignment="0"/>
    <xf numFmtId="0" fontId="23" fillId="11" borderId="16" applyNumberFormat="0" applyAlignment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0" borderId="0"/>
    <xf numFmtId="0" fontId="25" fillId="0" borderId="0" applyFill="0" applyBorder="0" applyProtection="0">
      <alignment vertical="center"/>
    </xf>
    <xf numFmtId="0" fontId="25" fillId="0" borderId="0" applyFill="0" applyBorder="0" applyProtection="0">
      <alignment vertical="center"/>
    </xf>
    <xf numFmtId="0" fontId="30" fillId="2" borderId="17" applyNumberFormat="0">
      <alignment horizontal="center" vertical="center"/>
    </xf>
    <xf numFmtId="49" fontId="31" fillId="12" borderId="18" applyNumberFormat="0">
      <alignment horizontal="center" vertical="center"/>
    </xf>
    <xf numFmtId="0" fontId="32" fillId="13" borderId="16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44" fontId="38" fillId="0" borderId="0" applyFont="0" applyFill="0" applyBorder="0" applyAlignment="0" applyProtection="0"/>
    <xf numFmtId="4" fontId="39" fillId="14" borderId="2" applyBorder="0">
      <alignment horizontal="right"/>
    </xf>
    <xf numFmtId="49" fontId="39" fillId="0" borderId="0" applyBorder="0">
      <alignment vertical="top"/>
    </xf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2" fillId="0" borderId="0"/>
    <xf numFmtId="0" fontId="38" fillId="0" borderId="0"/>
    <xf numFmtId="0" fontId="41" fillId="15" borderId="0" applyNumberFormat="0" applyBorder="0" applyAlignment="0">
      <alignment horizontal="left" vertical="center"/>
    </xf>
    <xf numFmtId="0" fontId="38" fillId="0" borderId="0"/>
    <xf numFmtId="0" fontId="42" fillId="16" borderId="0"/>
    <xf numFmtId="0" fontId="38" fillId="0" borderId="0"/>
    <xf numFmtId="49" fontId="39" fillId="15" borderId="0" applyBorder="0">
      <alignment vertical="top"/>
    </xf>
    <xf numFmtId="0" fontId="1" fillId="0" borderId="0"/>
    <xf numFmtId="49" fontId="39" fillId="0" borderId="0" applyBorder="0">
      <alignment vertical="top"/>
    </xf>
    <xf numFmtId="0" fontId="11" fillId="0" borderId="0"/>
    <xf numFmtId="0" fontId="1" fillId="0" borderId="0"/>
    <xf numFmtId="0" fontId="2" fillId="0" borderId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9" fillId="17" borderId="0" applyBorder="0">
      <alignment horizontal="right"/>
    </xf>
  </cellStyleXfs>
  <cellXfs count="214">
    <xf numFmtId="0" fontId="0" fillId="0" borderId="0" xfId="0"/>
    <xf numFmtId="0" fontId="3" fillId="2" borderId="0" xfId="1" applyFont="1" applyFill="1"/>
    <xf numFmtId="0" fontId="3" fillId="2" borderId="0" xfId="1" applyFont="1" applyFill="1" applyAlignment="1"/>
    <xf numFmtId="0" fontId="4" fillId="2" borderId="0" xfId="1" applyFont="1" applyFill="1" applyAlignment="1">
      <alignment horizontal="right"/>
    </xf>
    <xf numFmtId="4" fontId="5" fillId="2" borderId="0" xfId="1" applyNumberFormat="1" applyFont="1" applyFill="1" applyBorder="1" applyAlignment="1">
      <alignment horizontal="center" vertical="center" wrapText="1"/>
    </xf>
    <xf numFmtId="4" fontId="5" fillId="2" borderId="0" xfId="1" applyNumberFormat="1" applyFont="1" applyFill="1" applyBorder="1" applyAlignment="1">
      <alignment wrapText="1"/>
    </xf>
    <xf numFmtId="3" fontId="4" fillId="2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6" fillId="2" borderId="0" xfId="1" applyFont="1" applyFill="1"/>
    <xf numFmtId="3" fontId="4" fillId="2" borderId="6" xfId="1" applyNumberFormat="1" applyFont="1" applyFill="1" applyBorder="1" applyAlignment="1">
      <alignment horizontal="center"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>
      <alignment horizontal="center" vertical="center" wrapText="1"/>
    </xf>
    <xf numFmtId="4" fontId="4" fillId="2" borderId="8" xfId="1" applyNumberFormat="1" applyFont="1" applyFill="1" applyBorder="1" applyAlignment="1">
      <alignment horizontal="center" vertical="center" wrapText="1"/>
    </xf>
    <xf numFmtId="4" fontId="4" fillId="2" borderId="9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1" fontId="4" fillId="2" borderId="7" xfId="1" applyNumberFormat="1" applyFont="1" applyFill="1" applyBorder="1" applyAlignment="1">
      <alignment horizontal="center" vertical="center" wrapText="1"/>
    </xf>
    <xf numFmtId="1" fontId="4" fillId="2" borderId="8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4" fontId="4" fillId="2" borderId="0" xfId="1" applyNumberFormat="1" applyFont="1" applyFill="1" applyBorder="1" applyAlignment="1">
      <alignment horizontal="center" vertical="center" wrapText="1"/>
    </xf>
    <xf numFmtId="4" fontId="4" fillId="2" borderId="11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1" fontId="4" fillId="2" borderId="12" xfId="1" applyNumberFormat="1" applyFont="1" applyFill="1" applyBorder="1" applyAlignment="1">
      <alignment horizontal="center" vertical="center" wrapText="1"/>
    </xf>
    <xf numFmtId="1" fontId="4" fillId="2" borderId="13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4" fillId="2" borderId="7" xfId="1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3" fontId="4" fillId="2" borderId="15" xfId="1" applyNumberFormat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center" vertical="center" wrapText="1"/>
    </xf>
    <xf numFmtId="3" fontId="4" fillId="2" borderId="1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4" fontId="7" fillId="2" borderId="2" xfId="1" applyNumberFormat="1" applyFont="1" applyFill="1" applyBorder="1" applyAlignment="1">
      <alignment horizontal="center" vertical="top"/>
    </xf>
    <xf numFmtId="0" fontId="4" fillId="2" borderId="2" xfId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vertical="top" wrapText="1"/>
    </xf>
    <xf numFmtId="2" fontId="8" fillId="2" borderId="2" xfId="1" applyNumberFormat="1" applyFont="1" applyFill="1" applyBorder="1" applyAlignment="1">
      <alignment vertical="top"/>
    </xf>
    <xf numFmtId="164" fontId="8" fillId="2" borderId="2" xfId="1" applyNumberFormat="1" applyFont="1" applyFill="1" applyBorder="1" applyAlignment="1">
      <alignment vertical="top"/>
    </xf>
    <xf numFmtId="2" fontId="8" fillId="2" borderId="3" xfId="1" applyNumberFormat="1" applyFont="1" applyFill="1" applyBorder="1" applyAlignment="1">
      <alignment vertical="top"/>
    </xf>
    <xf numFmtId="0" fontId="9" fillId="2" borderId="0" xfId="1" applyFont="1" applyFill="1"/>
    <xf numFmtId="0" fontId="4" fillId="2" borderId="2" xfId="1" applyFont="1" applyFill="1" applyBorder="1" applyAlignment="1">
      <alignment vertical="top"/>
    </xf>
    <xf numFmtId="9" fontId="4" fillId="2" borderId="2" xfId="1" applyNumberFormat="1" applyFont="1" applyFill="1" applyBorder="1" applyAlignment="1">
      <alignment vertical="top"/>
    </xf>
    <xf numFmtId="9" fontId="4" fillId="2" borderId="3" xfId="1" applyNumberFormat="1" applyFont="1" applyFill="1" applyBorder="1" applyAlignment="1">
      <alignment vertical="top"/>
    </xf>
    <xf numFmtId="4" fontId="4" fillId="2" borderId="2" xfId="1" applyNumberFormat="1" applyFont="1" applyFill="1" applyBorder="1" applyAlignment="1">
      <alignment vertical="top"/>
    </xf>
    <xf numFmtId="4" fontId="4" fillId="2" borderId="3" xfId="1" applyNumberFormat="1" applyFont="1" applyFill="1" applyBorder="1" applyAlignment="1">
      <alignment vertical="top"/>
    </xf>
    <xf numFmtId="0" fontId="7" fillId="2" borderId="2" xfId="1" applyFont="1" applyFill="1" applyBorder="1" applyAlignment="1">
      <alignment horizontal="center" vertical="top"/>
    </xf>
    <xf numFmtId="165" fontId="4" fillId="2" borderId="2" xfId="1" applyNumberFormat="1" applyFont="1" applyFill="1" applyBorder="1" applyAlignment="1">
      <alignment vertical="top"/>
    </xf>
    <xf numFmtId="0" fontId="4" fillId="2" borderId="2" xfId="1" applyFont="1" applyFill="1" applyBorder="1"/>
    <xf numFmtId="165" fontId="4" fillId="2" borderId="3" xfId="1" applyNumberFormat="1" applyFont="1" applyFill="1" applyBorder="1" applyAlignment="1">
      <alignment vertical="top"/>
    </xf>
    <xf numFmtId="0" fontId="8" fillId="2" borderId="2" xfId="1" applyFont="1" applyFill="1" applyBorder="1" applyAlignment="1">
      <alignment horizontal="center" vertical="top"/>
    </xf>
    <xf numFmtId="0" fontId="4" fillId="2" borderId="2" xfId="1" applyFont="1" applyFill="1" applyBorder="1" applyAlignment="1">
      <alignment vertical="top" wrapText="1"/>
    </xf>
    <xf numFmtId="0" fontId="8" fillId="2" borderId="2" xfId="1" applyFont="1" applyFill="1" applyBorder="1"/>
    <xf numFmtId="165" fontId="4" fillId="2" borderId="2" xfId="1" applyNumberFormat="1" applyFont="1" applyFill="1" applyBorder="1"/>
    <xf numFmtId="9" fontId="4" fillId="2" borderId="2" xfId="2" applyNumberFormat="1" applyFont="1" applyFill="1" applyBorder="1" applyAlignment="1">
      <alignment vertical="top"/>
    </xf>
    <xf numFmtId="166" fontId="4" fillId="2" borderId="2" xfId="1" applyNumberFormat="1" applyFont="1" applyFill="1" applyBorder="1" applyAlignment="1">
      <alignment vertical="top"/>
    </xf>
    <xf numFmtId="3" fontId="7" fillId="3" borderId="15" xfId="1" applyNumberFormat="1" applyFont="1" applyFill="1" applyBorder="1" applyAlignment="1">
      <alignment horizontal="center" vertical="top"/>
    </xf>
    <xf numFmtId="4" fontId="7" fillId="3" borderId="15" xfId="1" applyNumberFormat="1" applyFont="1" applyFill="1" applyBorder="1" applyAlignment="1">
      <alignment vertical="top" wrapText="1"/>
    </xf>
    <xf numFmtId="0" fontId="7" fillId="3" borderId="15" xfId="1" applyFont="1" applyFill="1" applyBorder="1" applyAlignment="1">
      <alignment horizontal="center" vertical="top"/>
    </xf>
    <xf numFmtId="43" fontId="7" fillId="3" borderId="15" xfId="2" applyFont="1" applyFill="1" applyBorder="1" applyAlignment="1">
      <alignment horizontal="center" vertical="top"/>
    </xf>
    <xf numFmtId="167" fontId="7" fillId="3" borderId="15" xfId="2" applyNumberFormat="1" applyFont="1" applyFill="1" applyBorder="1" applyAlignment="1">
      <alignment horizontal="center" vertical="top"/>
    </xf>
    <xf numFmtId="4" fontId="4" fillId="3" borderId="15" xfId="1" applyNumberFormat="1" applyFont="1" applyFill="1" applyBorder="1" applyAlignment="1">
      <alignment horizontal="center" vertical="center"/>
    </xf>
    <xf numFmtId="4" fontId="4" fillId="3" borderId="12" xfId="1" applyNumberFormat="1" applyFont="1" applyFill="1" applyBorder="1" applyAlignment="1">
      <alignment horizontal="center" vertical="center"/>
    </xf>
    <xf numFmtId="0" fontId="6" fillId="3" borderId="0" xfId="1" applyFont="1" applyFill="1"/>
    <xf numFmtId="3" fontId="4" fillId="2" borderId="2" xfId="1" applyNumberFormat="1" applyFont="1" applyFill="1" applyBorder="1" applyAlignment="1">
      <alignment horizontal="center" vertical="top"/>
    </xf>
    <xf numFmtId="4" fontId="4" fillId="4" borderId="2" xfId="1" applyNumberFormat="1" applyFont="1" applyFill="1" applyBorder="1" applyAlignment="1">
      <alignment vertical="top" wrapText="1"/>
    </xf>
    <xf numFmtId="43" fontId="4" fillId="2" borderId="2" xfId="1" applyNumberFormat="1" applyFont="1" applyFill="1" applyBorder="1" applyAlignment="1">
      <alignment horizontal="center" vertical="top"/>
    </xf>
    <xf numFmtId="43" fontId="4" fillId="2" borderId="2" xfId="2" applyFont="1" applyFill="1" applyBorder="1" applyAlignment="1">
      <alignment horizontal="center" vertical="top"/>
    </xf>
    <xf numFmtId="43" fontId="4" fillId="4" borderId="2" xfId="2" applyFont="1" applyFill="1" applyBorder="1" applyAlignment="1">
      <alignment horizontal="center" vertical="top"/>
    </xf>
    <xf numFmtId="4" fontId="4" fillId="2" borderId="2" xfId="1" applyNumberFormat="1" applyFont="1" applyFill="1" applyBorder="1" applyAlignment="1">
      <alignment horizontal="center" vertical="center"/>
    </xf>
    <xf numFmtId="4" fontId="4" fillId="2" borderId="3" xfId="1" applyNumberFormat="1" applyFont="1" applyFill="1" applyBorder="1" applyAlignment="1">
      <alignment horizontal="center" vertical="center"/>
    </xf>
    <xf numFmtId="3" fontId="8" fillId="2" borderId="2" xfId="1" applyNumberFormat="1" applyFont="1" applyFill="1" applyBorder="1" applyAlignment="1">
      <alignment horizontal="center" vertical="top"/>
    </xf>
    <xf numFmtId="3" fontId="12" fillId="5" borderId="2" xfId="3" applyNumberFormat="1" applyFont="1" applyFill="1" applyBorder="1" applyAlignment="1">
      <alignment vertical="center" wrapText="1"/>
    </xf>
    <xf numFmtId="43" fontId="8" fillId="2" borderId="2" xfId="1" applyNumberFormat="1" applyFont="1" applyFill="1" applyBorder="1" applyAlignment="1">
      <alignment horizontal="center" vertical="top"/>
    </xf>
    <xf numFmtId="43" fontId="8" fillId="2" borderId="2" xfId="2" applyFont="1" applyFill="1" applyBorder="1" applyAlignment="1">
      <alignment horizontal="center" vertical="top"/>
    </xf>
    <xf numFmtId="4" fontId="8" fillId="2" borderId="2" xfId="1" applyNumberFormat="1" applyFont="1" applyFill="1" applyBorder="1" applyAlignment="1">
      <alignment horizontal="right" vertical="top"/>
    </xf>
    <xf numFmtId="4" fontId="8" fillId="2" borderId="2" xfId="1" applyNumberFormat="1" applyFont="1" applyFill="1" applyBorder="1" applyAlignment="1">
      <alignment horizontal="center" vertical="center"/>
    </xf>
    <xf numFmtId="4" fontId="8" fillId="2" borderId="3" xfId="1" applyNumberFormat="1" applyFont="1" applyFill="1" applyBorder="1" applyAlignment="1">
      <alignment horizontal="center" vertical="center"/>
    </xf>
    <xf numFmtId="4" fontId="12" fillId="5" borderId="2" xfId="3" applyNumberFormat="1" applyFont="1" applyFill="1" applyBorder="1" applyAlignment="1">
      <alignment wrapText="1"/>
    </xf>
    <xf numFmtId="4" fontId="12" fillId="5" borderId="0" xfId="3" applyNumberFormat="1" applyFont="1" applyFill="1" applyAlignment="1">
      <alignment wrapText="1"/>
    </xf>
    <xf numFmtId="3" fontId="13" fillId="6" borderId="2" xfId="1" applyNumberFormat="1" applyFont="1" applyFill="1" applyBorder="1" applyAlignment="1">
      <alignment vertical="center" wrapText="1"/>
    </xf>
    <xf numFmtId="3" fontId="13" fillId="6" borderId="3" xfId="1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vertical="top" wrapText="1"/>
    </xf>
    <xf numFmtId="43" fontId="8" fillId="4" borderId="2" xfId="2" applyFont="1" applyFill="1" applyBorder="1" applyAlignment="1">
      <alignment horizontal="center" vertical="top"/>
    </xf>
    <xf numFmtId="4" fontId="4" fillId="2" borderId="2" xfId="1" applyNumberFormat="1" applyFont="1" applyFill="1" applyBorder="1" applyAlignment="1">
      <alignment horizontal="right" vertical="top"/>
    </xf>
    <xf numFmtId="3" fontId="12" fillId="7" borderId="2" xfId="3" applyNumberFormat="1" applyFont="1" applyFill="1" applyBorder="1" applyAlignment="1">
      <alignment vertical="center" wrapText="1"/>
    </xf>
    <xf numFmtId="3" fontId="13" fillId="7" borderId="2" xfId="1" applyNumberFormat="1" applyFont="1" applyFill="1" applyBorder="1" applyAlignment="1">
      <alignment vertical="center" wrapText="1"/>
    </xf>
    <xf numFmtId="0" fontId="14" fillId="7" borderId="2" xfId="1" applyFont="1" applyFill="1" applyBorder="1" applyAlignment="1">
      <alignment horizontal="left" vertical="center" wrapText="1"/>
    </xf>
    <xf numFmtId="3" fontId="13" fillId="8" borderId="2" xfId="1" applyNumberFormat="1" applyFont="1" applyFill="1" applyBorder="1" applyAlignment="1">
      <alignment vertical="center" wrapText="1"/>
    </xf>
    <xf numFmtId="0" fontId="15" fillId="8" borderId="2" xfId="1" applyFont="1" applyFill="1" applyBorder="1" applyAlignment="1">
      <alignment horizontal="left" vertical="top" wrapText="1"/>
    </xf>
    <xf numFmtId="2" fontId="4" fillId="2" borderId="2" xfId="1" applyNumberFormat="1" applyFont="1" applyFill="1" applyBorder="1" applyAlignment="1">
      <alignment horizontal="center" vertical="top"/>
    </xf>
    <xf numFmtId="3" fontId="4" fillId="2" borderId="3" xfId="1" applyNumberFormat="1" applyFont="1" applyFill="1" applyBorder="1" applyAlignment="1">
      <alignment horizontal="center" vertical="center"/>
    </xf>
    <xf numFmtId="4" fontId="8" fillId="2" borderId="2" xfId="1" applyNumberFormat="1" applyFont="1" applyFill="1" applyBorder="1" applyAlignment="1">
      <alignment vertical="top" wrapText="1"/>
    </xf>
    <xf numFmtId="0" fontId="4" fillId="4" borderId="2" xfId="1" applyFont="1" applyFill="1" applyBorder="1" applyAlignment="1">
      <alignment horizontal="center" vertical="top"/>
    </xf>
    <xf numFmtId="43" fontId="4" fillId="4" borderId="2" xfId="1" applyNumberFormat="1" applyFont="1" applyFill="1" applyBorder="1" applyAlignment="1">
      <alignment horizontal="center" vertical="top"/>
    </xf>
    <xf numFmtId="0" fontId="13" fillId="5" borderId="2" xfId="3" applyFont="1" applyFill="1" applyBorder="1" applyAlignment="1">
      <alignment wrapText="1"/>
    </xf>
    <xf numFmtId="3" fontId="13" fillId="5" borderId="2" xfId="3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top" wrapText="1"/>
    </xf>
    <xf numFmtId="3" fontId="13" fillId="9" borderId="2" xfId="3" applyNumberFormat="1" applyFont="1" applyFill="1" applyBorder="1" applyAlignment="1">
      <alignment vertical="center" wrapText="1"/>
    </xf>
    <xf numFmtId="4" fontId="13" fillId="9" borderId="2" xfId="3" applyNumberFormat="1" applyFont="1" applyFill="1" applyBorder="1" applyAlignment="1">
      <alignment wrapText="1"/>
    </xf>
    <xf numFmtId="4" fontId="13" fillId="8" borderId="2" xfId="3" applyNumberFormat="1" applyFont="1" applyFill="1" applyBorder="1" applyAlignment="1">
      <alignment wrapText="1"/>
    </xf>
    <xf numFmtId="3" fontId="13" fillId="8" borderId="2" xfId="3" applyNumberFormat="1" applyFont="1" applyFill="1" applyBorder="1" applyAlignment="1">
      <alignment vertical="center" wrapText="1"/>
    </xf>
    <xf numFmtId="4" fontId="4" fillId="8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vertical="top"/>
    </xf>
    <xf numFmtId="4" fontId="13" fillId="8" borderId="0" xfId="3" applyNumberFormat="1" applyFont="1" applyFill="1" applyAlignment="1">
      <alignment wrapText="1"/>
    </xf>
    <xf numFmtId="3" fontId="14" fillId="8" borderId="2" xfId="3" applyNumberFormat="1" applyFont="1" applyFill="1" applyBorder="1" applyAlignment="1">
      <alignment vertical="center" wrapText="1"/>
    </xf>
    <xf numFmtId="4" fontId="13" fillId="8" borderId="2" xfId="3" applyNumberFormat="1" applyFont="1" applyFill="1" applyBorder="1" applyAlignment="1">
      <alignment vertical="center" wrapText="1"/>
    </xf>
    <xf numFmtId="4" fontId="16" fillId="8" borderId="2" xfId="3" applyNumberFormat="1" applyFont="1" applyFill="1" applyBorder="1" applyAlignment="1">
      <alignment vertical="center" wrapText="1"/>
    </xf>
    <xf numFmtId="4" fontId="8" fillId="4" borderId="2" xfId="1" applyNumberFormat="1" applyFont="1" applyFill="1" applyBorder="1" applyAlignment="1">
      <alignment horizontal="right" vertical="top"/>
    </xf>
    <xf numFmtId="4" fontId="4" fillId="4" borderId="2" xfId="1" applyNumberFormat="1" applyFont="1" applyFill="1" applyBorder="1" applyAlignment="1">
      <alignment horizontal="right" vertical="top"/>
    </xf>
    <xf numFmtId="0" fontId="4" fillId="2" borderId="0" xfId="1" applyFont="1" applyFill="1" applyAlignment="1">
      <alignment horizontal="center"/>
    </xf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0" fontId="19" fillId="0" borderId="0" xfId="49" applyFont="1"/>
    <xf numFmtId="0" fontId="17" fillId="0" borderId="0" xfId="49" applyFont="1" applyAlignment="1">
      <alignment horizontal="right"/>
    </xf>
    <xf numFmtId="0" fontId="43" fillId="0" borderId="0" xfId="49" applyFont="1" applyAlignment="1">
      <alignment wrapText="1"/>
    </xf>
    <xf numFmtId="0" fontId="17" fillId="0" borderId="0" xfId="49" applyFont="1" applyAlignment="1">
      <alignment horizontal="right" wrapText="1"/>
    </xf>
    <xf numFmtId="0" fontId="19" fillId="0" borderId="0" xfId="49" applyFont="1" applyAlignment="1">
      <alignment horizontal="right"/>
    </xf>
    <xf numFmtId="0" fontId="44" fillId="0" borderId="0" xfId="49" applyFont="1" applyAlignment="1">
      <alignment horizontal="center"/>
    </xf>
    <xf numFmtId="0" fontId="18" fillId="0" borderId="2" xfId="49" applyFont="1" applyBorder="1" applyAlignment="1">
      <alignment horizontal="center" vertical="top" wrapText="1"/>
    </xf>
    <xf numFmtId="0" fontId="4" fillId="0" borderId="2" xfId="49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7" fillId="0" borderId="1" xfId="49" applyFont="1" applyBorder="1" applyAlignment="1">
      <alignment wrapText="1"/>
    </xf>
    <xf numFmtId="0" fontId="4" fillId="0" borderId="2" xfId="49" applyFont="1" applyBorder="1" applyAlignment="1">
      <alignment horizontal="center" vertical="center" wrapText="1"/>
    </xf>
    <xf numFmtId="0" fontId="2" fillId="0" borderId="2" xfId="49" applyBorder="1" applyAlignment="1">
      <alignment horizontal="center" vertical="center" wrapText="1"/>
    </xf>
    <xf numFmtId="4" fontId="4" fillId="2" borderId="2" xfId="49" applyNumberFormat="1" applyFont="1" applyFill="1" applyBorder="1" applyAlignment="1">
      <alignment horizontal="center" vertical="center"/>
    </xf>
    <xf numFmtId="0" fontId="2" fillId="0" borderId="6" xfId="49" applyBorder="1" applyAlignment="1">
      <alignment horizontal="center" vertical="center" wrapText="1"/>
    </xf>
    <xf numFmtId="0" fontId="2" fillId="0" borderId="15" xfId="49" applyBorder="1" applyAlignment="1">
      <alignment wrapText="1"/>
    </xf>
    <xf numFmtId="0" fontId="2" fillId="0" borderId="15" xfId="49" applyBorder="1" applyAlignment="1">
      <alignment horizontal="center" vertical="center" wrapText="1"/>
    </xf>
    <xf numFmtId="0" fontId="4" fillId="0" borderId="2" xfId="49" applyFont="1" applyBorder="1" applyAlignment="1">
      <alignment wrapText="1"/>
    </xf>
    <xf numFmtId="0" fontId="4" fillId="0" borderId="2" xfId="49" applyFont="1" applyBorder="1" applyAlignment="1">
      <alignment horizontal="center" vertical="center"/>
    </xf>
    <xf numFmtId="2" fontId="4" fillId="2" borderId="2" xfId="49" applyNumberFormat="1" applyFont="1" applyFill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/>
    </xf>
    <xf numFmtId="4" fontId="4" fillId="2" borderId="2" xfId="49" applyNumberFormat="1" applyFont="1" applyFill="1" applyBorder="1" applyAlignment="1">
      <alignment horizontal="center" vertical="center"/>
    </xf>
    <xf numFmtId="4" fontId="4" fillId="2" borderId="2" xfId="49" applyNumberFormat="1" applyFont="1" applyFill="1" applyBorder="1" applyAlignment="1">
      <alignment horizontal="center"/>
    </xf>
    <xf numFmtId="0" fontId="7" fillId="2" borderId="2" xfId="49" applyFont="1" applyFill="1" applyBorder="1" applyAlignment="1">
      <alignment horizontal="center" vertical="center"/>
    </xf>
    <xf numFmtId="0" fontId="7" fillId="2" borderId="2" xfId="49" applyFont="1" applyFill="1" applyBorder="1" applyAlignment="1">
      <alignment wrapText="1"/>
    </xf>
    <xf numFmtId="0" fontId="7" fillId="2" borderId="2" xfId="49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center"/>
    </xf>
    <xf numFmtId="0" fontId="4" fillId="2" borderId="2" xfId="49" applyFont="1" applyFill="1" applyBorder="1" applyAlignment="1">
      <alignment horizontal="center"/>
    </xf>
    <xf numFmtId="0" fontId="4" fillId="2" borderId="2" xfId="49" applyFont="1" applyFill="1" applyBorder="1" applyAlignment="1">
      <alignment wrapText="1"/>
    </xf>
    <xf numFmtId="0" fontId="4" fillId="2" borderId="2" xfId="49" applyFont="1" applyFill="1" applyBorder="1" applyAlignment="1">
      <alignment horizontal="center" vertical="center" wrapText="1"/>
    </xf>
    <xf numFmtId="164" fontId="4" fillId="2" borderId="2" xfId="49" applyNumberFormat="1" applyFont="1" applyFill="1" applyBorder="1" applyAlignment="1">
      <alignment horizontal="center" vertical="center"/>
    </xf>
    <xf numFmtId="0" fontId="7" fillId="0" borderId="2" xfId="49" applyFont="1" applyBorder="1" applyAlignment="1">
      <alignment horizontal="center" vertical="center"/>
    </xf>
    <xf numFmtId="0" fontId="7" fillId="0" borderId="2" xfId="49" applyFont="1" applyBorder="1" applyAlignment="1">
      <alignment wrapText="1"/>
    </xf>
    <xf numFmtId="0" fontId="7" fillId="0" borderId="2" xfId="49" applyFont="1" applyBorder="1" applyAlignment="1">
      <alignment horizontal="left"/>
    </xf>
    <xf numFmtId="0" fontId="17" fillId="0" borderId="0" xfId="49" applyFont="1" applyAlignment="1">
      <alignment horizontal="left" vertical="top"/>
    </xf>
    <xf numFmtId="0" fontId="17" fillId="0" borderId="0" xfId="49" applyFont="1"/>
    <xf numFmtId="0" fontId="17" fillId="0" borderId="0" xfId="49" applyFont="1" applyAlignment="1">
      <alignment horizontal="left" vertical="top" wrapText="1"/>
    </xf>
    <xf numFmtId="0" fontId="18" fillId="0" borderId="3" xfId="49" applyFont="1" applyBorder="1" applyAlignment="1">
      <alignment horizontal="center" vertical="top" wrapText="1"/>
    </xf>
    <xf numFmtId="0" fontId="18" fillId="0" borderId="4" xfId="49" applyFont="1" applyBorder="1" applyAlignment="1">
      <alignment horizontal="center" vertical="top" wrapText="1"/>
    </xf>
    <xf numFmtId="0" fontId="17" fillId="0" borderId="2" xfId="49" applyFont="1" applyBorder="1" applyAlignment="1">
      <alignment horizontal="center" vertical="center" wrapText="1"/>
    </xf>
    <xf numFmtId="0" fontId="17" fillId="0" borderId="2" xfId="49" applyFont="1" applyBorder="1" applyAlignment="1">
      <alignment horizontal="center" vertical="center"/>
    </xf>
    <xf numFmtId="0" fontId="17" fillId="0" borderId="2" xfId="49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top"/>
    </xf>
    <xf numFmtId="0" fontId="17" fillId="0" borderId="2" xfId="49" applyFont="1" applyBorder="1" applyAlignment="1">
      <alignment horizontal="center"/>
    </xf>
    <xf numFmtId="0" fontId="17" fillId="0" borderId="2" xfId="49" applyFont="1" applyBorder="1" applyAlignment="1">
      <alignment horizontal="left" vertical="top" wrapText="1"/>
    </xf>
    <xf numFmtId="0" fontId="2" fillId="0" borderId="2" xfId="49" applyBorder="1" applyAlignment="1">
      <alignment horizontal="left" vertical="top" wrapText="1"/>
    </xf>
    <xf numFmtId="0" fontId="17" fillId="0" borderId="2" xfId="49" applyFont="1" applyBorder="1" applyAlignment="1">
      <alignment horizontal="center" wrapText="1"/>
    </xf>
    <xf numFmtId="4" fontId="17" fillId="0" borderId="2" xfId="49" applyNumberFormat="1" applyFont="1" applyBorder="1" applyAlignment="1">
      <alignment horizontal="right" vertical="center" wrapText="1"/>
    </xf>
    <xf numFmtId="0" fontId="17" fillId="0" borderId="2" xfId="49" applyFont="1" applyBorder="1" applyAlignment="1">
      <alignment horizontal="left" vertical="top"/>
    </xf>
    <xf numFmtId="0" fontId="17" fillId="0" borderId="2" xfId="49" applyFont="1" applyBorder="1" applyAlignment="1">
      <alignment horizontal="center"/>
    </xf>
    <xf numFmtId="0" fontId="17" fillId="0" borderId="2" xfId="49" applyFont="1" applyBorder="1" applyAlignment="1">
      <alignment horizontal="center" vertical="center"/>
    </xf>
    <xf numFmtId="0" fontId="17" fillId="0" borderId="2" xfId="49" applyFont="1" applyBorder="1"/>
    <xf numFmtId="0" fontId="17" fillId="0" borderId="2" xfId="49" applyFont="1" applyBorder="1" applyAlignment="1">
      <alignment horizontal="left"/>
    </xf>
    <xf numFmtId="0" fontId="19" fillId="0" borderId="0" xfId="49" applyFont="1" applyBorder="1" applyAlignment="1">
      <alignment horizontal="left" vertical="top" wrapText="1"/>
    </xf>
    <xf numFmtId="49" fontId="7" fillId="0" borderId="2" xfId="49" applyNumberFormat="1" applyFont="1" applyBorder="1" applyAlignment="1">
      <alignment horizontal="center" vertical="top"/>
    </xf>
    <xf numFmtId="0" fontId="18" fillId="0" borderId="2" xfId="49" applyFont="1" applyFill="1" applyBorder="1" applyAlignment="1">
      <alignment wrapText="1"/>
    </xf>
    <xf numFmtId="4" fontId="18" fillId="0" borderId="2" xfId="49" applyNumberFormat="1" applyFont="1" applyFill="1" applyBorder="1" applyAlignment="1">
      <alignment horizontal="right"/>
    </xf>
    <xf numFmtId="0" fontId="19" fillId="0" borderId="0" xfId="49" applyFont="1" applyBorder="1" applyAlignment="1">
      <alignment vertical="top" wrapText="1"/>
    </xf>
    <xf numFmtId="0" fontId="18" fillId="0" borderId="2" xfId="49" applyFont="1" applyBorder="1"/>
    <xf numFmtId="4" fontId="18" fillId="0" borderId="2" xfId="49" applyNumberFormat="1" applyFont="1" applyFill="1" applyBorder="1" applyAlignment="1">
      <alignment wrapText="1"/>
    </xf>
    <xf numFmtId="0" fontId="45" fillId="0" borderId="8" xfId="49" applyFont="1" applyBorder="1" applyAlignment="1">
      <alignment horizontal="left" vertical="top" wrapText="1"/>
    </xf>
    <xf numFmtId="0" fontId="45" fillId="0" borderId="0" xfId="49" applyFont="1"/>
    <xf numFmtId="0" fontId="45" fillId="0" borderId="0" xfId="49" applyFont="1" applyAlignment="1">
      <alignment horizontal="left" vertical="top" wrapText="1"/>
    </xf>
    <xf numFmtId="0" fontId="46" fillId="0" borderId="0" xfId="49" applyFont="1" applyAlignment="1">
      <alignment wrapText="1"/>
    </xf>
    <xf numFmtId="0" fontId="19" fillId="0" borderId="0" xfId="49" applyFont="1" applyAlignment="1">
      <alignment horizontal="left" vertical="top" wrapText="1"/>
    </xf>
    <xf numFmtId="0" fontId="17" fillId="0" borderId="2" xfId="49" applyFont="1" applyBorder="1" applyAlignment="1">
      <alignment horizontal="left" vertical="center" wrapText="1"/>
    </xf>
    <xf numFmtId="3" fontId="17" fillId="0" borderId="2" xfId="49" applyNumberFormat="1" applyFont="1" applyBorder="1" applyAlignment="1">
      <alignment horizontal="center" vertical="center" wrapText="1"/>
    </xf>
    <xf numFmtId="4" fontId="17" fillId="0" borderId="2" xfId="49" applyNumberFormat="1" applyFont="1" applyBorder="1" applyAlignment="1">
      <alignment horizontal="center" vertical="center" wrapText="1"/>
    </xf>
    <xf numFmtId="0" fontId="17" fillId="0" borderId="8" xfId="49" applyFont="1" applyBorder="1" applyAlignment="1">
      <alignment horizontal="left" vertical="center" wrapText="1"/>
    </xf>
    <xf numFmtId="0" fontId="18" fillId="0" borderId="10" xfId="49" applyFont="1" applyBorder="1" applyAlignment="1">
      <alignment horizontal="center" wrapText="1"/>
    </xf>
    <xf numFmtId="0" fontId="18" fillId="0" borderId="0" xfId="49" applyFont="1" applyBorder="1" applyAlignment="1">
      <alignment horizontal="center" wrapText="1"/>
    </xf>
    <xf numFmtId="0" fontId="47" fillId="0" borderId="0" xfId="49" applyFont="1" applyAlignment="1">
      <alignment wrapText="1"/>
    </xf>
    <xf numFmtId="0" fontId="2" fillId="0" borderId="2" xfId="49" applyBorder="1" applyAlignment="1">
      <alignment wrapText="1"/>
    </xf>
    <xf numFmtId="0" fontId="19" fillId="0" borderId="0" xfId="49" applyFont="1" applyBorder="1"/>
    <xf numFmtId="0" fontId="17" fillId="0" borderId="0" xfId="49" applyFont="1" applyBorder="1" applyAlignment="1">
      <alignment horizontal="center" vertical="center" wrapText="1"/>
    </xf>
    <xf numFmtId="0" fontId="17" fillId="0" borderId="1" xfId="49" applyFont="1" applyBorder="1" applyAlignment="1">
      <alignment horizontal="center" vertical="center" wrapText="1"/>
    </xf>
    <xf numFmtId="0" fontId="17" fillId="0" borderId="7" xfId="49" applyFont="1" applyBorder="1" applyAlignment="1">
      <alignment horizontal="center" vertical="center" wrapText="1"/>
    </xf>
    <xf numFmtId="0" fontId="17" fillId="0" borderId="9" xfId="49" applyFont="1" applyBorder="1" applyAlignment="1">
      <alignment horizontal="center" vertical="center" wrapText="1"/>
    </xf>
    <xf numFmtId="0" fontId="17" fillId="0" borderId="6" xfId="49" applyFont="1" applyBorder="1" applyAlignment="1">
      <alignment horizontal="center" vertical="center" wrapText="1"/>
    </xf>
    <xf numFmtId="0" fontId="17" fillId="0" borderId="10" xfId="49" applyFont="1" applyBorder="1" applyAlignment="1">
      <alignment horizontal="center" vertical="center" wrapText="1"/>
    </xf>
    <xf numFmtId="0" fontId="17" fillId="0" borderId="11" xfId="49" applyFont="1" applyBorder="1" applyAlignment="1">
      <alignment horizontal="center" vertical="center" wrapText="1"/>
    </xf>
    <xf numFmtId="0" fontId="17" fillId="0" borderId="12" xfId="49" applyFont="1" applyBorder="1" applyAlignment="1">
      <alignment horizontal="center" vertical="center" wrapText="1"/>
    </xf>
    <xf numFmtId="0" fontId="17" fillId="0" borderId="14" xfId="49" applyFont="1" applyBorder="1" applyAlignment="1">
      <alignment horizontal="center" vertical="center" wrapText="1"/>
    </xf>
    <xf numFmtId="0" fontId="17" fillId="0" borderId="0" xfId="49" applyFont="1" applyBorder="1" applyAlignment="1">
      <alignment horizontal="center" vertical="center" wrapText="1"/>
    </xf>
    <xf numFmtId="0" fontId="17" fillId="0" borderId="2" xfId="49" applyFont="1" applyBorder="1" applyAlignment="1">
      <alignment wrapText="1"/>
    </xf>
    <xf numFmtId="164" fontId="17" fillId="0" borderId="2" xfId="49" applyNumberFormat="1" applyFont="1" applyBorder="1" applyAlignment="1">
      <alignment horizontal="center" wrapText="1"/>
    </xf>
    <xf numFmtId="0" fontId="17" fillId="0" borderId="2" xfId="49" applyFont="1" applyBorder="1" applyAlignment="1">
      <alignment horizontal="center" wrapText="1"/>
    </xf>
    <xf numFmtId="0" fontId="17" fillId="0" borderId="0" xfId="49" applyFont="1" applyBorder="1" applyAlignment="1">
      <alignment wrapText="1"/>
    </xf>
    <xf numFmtId="164" fontId="17" fillId="0" borderId="0" xfId="49" applyNumberFormat="1" applyFont="1" applyBorder="1" applyAlignment="1">
      <alignment horizontal="center" wrapText="1"/>
    </xf>
    <xf numFmtId="0" fontId="17" fillId="0" borderId="0" xfId="49" applyFont="1" applyBorder="1" applyAlignment="1">
      <alignment horizontal="center" wrapText="1"/>
    </xf>
    <xf numFmtId="0" fontId="2" fillId="0" borderId="0" xfId="49" applyBorder="1" applyAlignment="1">
      <alignment wrapText="1"/>
    </xf>
  </cellXfs>
  <cellStyles count="64">
    <cellStyle name=" 1" xfId="5"/>
    <cellStyle name=" 1 2" xfId="6"/>
    <cellStyle name=" 1_Stage1" xfId="7"/>
    <cellStyle name="_Model_RAB Мой_PR.PROG.WARM.NOTCOMBI.2012.2.16_v1.4(04.04.11) " xfId="8"/>
    <cellStyle name="_Model_RAB Мой_Книга2_PR.PROG.WARM.NOTCOMBI.2012.2.16_v1.4(04.04.11) " xfId="9"/>
    <cellStyle name="_Model_RAB_MRSK_svod_PR.PROG.WARM.NOTCOMBI.2012.2.16_v1.4(04.04.11) " xfId="10"/>
    <cellStyle name="_Model_RAB_MRSK_svod_Книга2_PR.PROG.WARM.NOTCOMBI.2012.2.16_v1.4(04.04.11) " xfId="11"/>
    <cellStyle name="_МОДЕЛЬ_1 (2)_PR.PROG.WARM.NOTCOMBI.2012.2.16_v1.4(04.04.11) " xfId="12"/>
    <cellStyle name="_МОДЕЛЬ_1 (2)_Книга2_PR.PROG.WARM.NOTCOMBI.2012.2.16_v1.4(04.04.11) " xfId="13"/>
    <cellStyle name="_пр 5 тариф RAB_PR.PROG.WARM.NOTCOMBI.2012.2.16_v1.4(04.04.11) " xfId="14"/>
    <cellStyle name="_пр 5 тариф RAB_Книга2_PR.PROG.WARM.NOTCOMBI.2012.2.16_v1.4(04.04.11) " xfId="15"/>
    <cellStyle name="_Расчет RAB_22072008_PR.PROG.WARM.NOTCOMBI.2012.2.16_v1.4(04.04.11) " xfId="16"/>
    <cellStyle name="_Расчет RAB_22072008_Книга2_PR.PROG.WARM.NOTCOMBI.2012.2.16_v1.4(04.04.11) " xfId="17"/>
    <cellStyle name="_Расчет RAB_Лен и МОЭСК_с 2010 года_14.04.2009_со сглаж_version 3.0_без ФСК_PR.PROG.WARM.NOTCOMBI.2012.2.16_v1.4(04.04.11) " xfId="18"/>
    <cellStyle name="_Расчет RAB_Лен и МОЭСК_с 2010 года_14.04.2009_со сглаж_version 3.0_без ФСК_Книга2_PR.PROG.WARM.NOTCOMBI.2012.2.16_v1.4(04.04.11) " xfId="19"/>
    <cellStyle name="Cells 2" xfId="20"/>
    <cellStyle name="Currency [0]" xfId="21"/>
    <cellStyle name="Currency2" xfId="22"/>
    <cellStyle name="Followed Hyperlink" xfId="23"/>
    <cellStyle name="Formuls" xfId="24"/>
    <cellStyle name="Header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2" xfId="32"/>
    <cellStyle name="Title 4" xfId="33"/>
    <cellStyle name="Ввод  2" xfId="34"/>
    <cellStyle name="Гиперссылка 2" xfId="35"/>
    <cellStyle name="Гиперссылка 2 2" xfId="36"/>
    <cellStyle name="Гиперссылка 4" xfId="37"/>
    <cellStyle name="Гиперссылка 4 2" xfId="38"/>
    <cellStyle name="Гиперссылка 4 2 2" xfId="39"/>
    <cellStyle name="Денежный 2" xfId="40"/>
    <cellStyle name="Значение" xfId="41"/>
    <cellStyle name="Обычный" xfId="0" builtinId="0"/>
    <cellStyle name="Обычный 10" xfId="42"/>
    <cellStyle name="Обычный 11" xfId="43"/>
    <cellStyle name="Обычный 12" xfId="44"/>
    <cellStyle name="Обычный 12 2" xfId="45"/>
    <cellStyle name="Обычный 12 3" xfId="46"/>
    <cellStyle name="Обычный 12 3 2" xfId="47"/>
    <cellStyle name="Обычный 12 4" xfId="48"/>
    <cellStyle name="Обычный 13" xfId="49"/>
    <cellStyle name="Обычный 14" xfId="50"/>
    <cellStyle name="Обычный 2" xfId="1"/>
    <cellStyle name="Обычный 2 6" xfId="51"/>
    <cellStyle name="Обычный 2 7" xfId="52"/>
    <cellStyle name="Обычный 2_13 09 24 Баланс (3)" xfId="53"/>
    <cellStyle name="Обычный 3" xfId="3"/>
    <cellStyle name="Обычный 3 2" xfId="54"/>
    <cellStyle name="Обычный 3 3" xfId="55"/>
    <cellStyle name="Обычный 3 4" xfId="56"/>
    <cellStyle name="Обычный 4" xfId="57"/>
    <cellStyle name="Обычный 5" xfId="58"/>
    <cellStyle name="Обычный 5 2" xfId="59"/>
    <cellStyle name="Обычный 6" xfId="60"/>
    <cellStyle name="Финансовый [0] 2" xfId="4"/>
    <cellStyle name="Финансовый 2" xfId="2"/>
    <cellStyle name="Финансовый 3" xfId="61"/>
    <cellStyle name="Финансовый 4" xfId="62"/>
    <cellStyle name="Формула_GRES.2007.5" xfId="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JKH\Department\PEO\&#1040;&#1085;&#1072;&#1083;&#1080;&#1079;&#1099;\2017%20&#1075;&#1086;&#1076;\&#1057;&#1084;&#1077;&#1090;&#1072;,%20&#1055;&#1083;&#1072;&#1085;,%20&#1040;&#1085;&#1072;&#1083;&#1080;&#1079;%20%202017%20&#1056;&#1057;&#1058;%20&#1080;%20&#1055;&#1060;&#1061;&#1044;\&#1040;&#1085;&#1072;&#1083;&#1080;&#1079;%20&#1055;&#1060;&#1061;&#1044;%202017\&#1040;&#1085;&#1072;&#1083;&#1080;&#1079;%20%202017%20&#1075;&#1086;&#1076;%20&#1087;&#1086;&#1089;&#1083;&#1077;%20&#1055;&#1060;&#1061;&#1044;%20%2012%20&#1084;&#1077;&#1089;&#1103;&#1094;&#1077;&#1074;%20(&#1103;&#1085;&#1074;&#1072;&#1088;&#1100;-&#1076;&#1077;&#1082;&#1072;&#1073;&#1088;&#1100;)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amfin/&#1052;&#1086;&#1080;%20&#1076;&#1086;&#1082;&#1091;&#1084;&#1077;&#1085;&#1090;&#1099;/&#1073;&#1102;&#1076;&#1078;&#1077;&#1090;%202019-2023/&#1056;&#1057;&#1058;/&#1057;&#1084;&#1077;&#1090;&#1072;%20&#1085;&#1072;%202019-20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st/2_&#1050;&#1086;&#1084;&#1084;&#1091;&#1085;&#1072;&#1083;&#1100;&#1085;&#1099;&#1081;%20&#1082;&#1086;&#1084;&#1087;&#1083;&#1077;&#1082;&#1089;/&#1059;&#1087;&#1088;&#1072;&#1074;&#1083;&#1077;&#1085;&#1080;&#1077;/1%20&#1064;&#1040;&#1041;&#1051;&#1054;&#1053;&#1067;/&#1096;&#1072;&#1073;&#1083;&#1086;&#1085;&#1099;%20&#1087;&#1086;%20&#1084;&#1086;&#1076;&#1077;&#1083;&#1100;&#1085;&#1086;&#1084;&#1091;%20&#1088;&#1072;&#1089;&#1095;&#1077;&#1090;&#1091;/&#1064;&#1072;&#1073;&#1083;&#1086;&#1085;&#1099;%20&#1072;&#1074;&#1075;&#1091;&#1089;&#1090;%202017/MODEL.COSTS.CVSNA.INFO.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amfin/&#1052;&#1086;&#1080;%20&#1076;&#1086;&#1082;&#1091;&#1084;&#1077;&#1085;&#1090;&#1099;/&#1073;&#1102;&#1076;&#1078;&#1077;&#1090;%202019-2023/&#1056;&#1057;&#1058;/&#1060;&#1086;&#1088;&#1084;&#1099;%20%20&#1058;&#1069;%20&#1052;&#1059;&#1055;%20&#1060;&#1077;&#1076;&#1086;&#1088;&#1086;&#1074;&#1089;&#1082;&#1086;&#1077;%20&#1046;&#1050;&#106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binkaAA/Downloads/IND.ST.VS.2014.5.86_&#1075;&#1086;&#1088;&#1086;&#1076;%20&#1053;&#1080;&#1078;&#1085;&#1077;&#1074;&#1072;&#1088;&#1090;&#1086;&#1074;&#1089;&#1082;_&#1052;&#1091;&#1085;&#1080;&#1094;&#1080;&#1087;&#1072;&#1083;&#1100;&#1085;&#1086;&#1077;%20&#1091;&#1085;&#1080;&#1090;&#1072;&#1088;&#1085;&#1086;&#1077;%20&#1087;&#1088;&#1077;&#1076;&#1087;&#1088;&#1080;&#1103;&#1090;&#1080;&#1077;%20&#1075;&#1086;&#1088;&#1086;&#1076;&#1072;%20&#1053;&#1080;&#1078;&#1085;&#1077;&#1074;&#1072;&#1088;&#1090;&#1086;&#1074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binkaAA/Downloads/IND.ST.VO.2014.5.86_&#1075;&#1086;&#1088;&#1086;&#1076;%20&#1053;&#1080;&#1078;&#1085;&#1077;&#1074;&#1072;&#1088;&#1090;&#1086;&#1074;&#1089;&#1082;_&#1052;&#1091;&#1085;&#1080;&#1094;&#1080;&#1087;&#1072;&#1083;&#1100;&#1085;&#1086;&#1077;%20&#1091;&#1085;&#1080;&#1090;&#1072;&#1088;&#1085;&#1086;&#1077;%20&#1087;&#1088;&#1077;&#1076;&#1087;&#1088;&#1080;&#1103;&#1090;&#1080;&#1077;%20&#1075;&#1086;&#1088;&#1086;&#1076;&#1072;%20&#1053;&#1080;&#1078;&#1085;&#1077;&#1074;&#1072;&#1088;&#1090;&#1086;&#1074;&#10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ugra.local\rstfs\RST\2_&#1050;&#1086;&#1084;&#1084;&#1091;&#1085;&#1072;&#1083;&#1100;&#1085;&#1099;&#1081;%20&#1082;&#1086;&#1084;&#1087;&#1083;&#1077;&#1082;&#1089;\&#1054;&#1090;&#1076;&#1077;&#1083;%20&#1088;&#1077;&#1075;&#1091;&#1083;&#1080;&#1088;&#1086;&#1074;&#1072;&#1085;&#1080;&#1103;\&#1055;&#1080;&#1089;&#1100;&#1084;&#1072;\&#1055;&#1080;&#1089;&#1100;&#1084;&#1086;%20&#1087;&#1086;%20&#1088;&#1077;&#1075;&#1091;&#1083;&#1080;&#1088;.%20&#1090;&#1072;&#1088;&#1080;&#1092;&#1086;&#1074;%20&#1085;&#1072;%202015%20&#1075;&#1086;&#1076;\&#1055;&#1088;&#1080;&#1083;&#1086;&#1078;&#1077;&#1085;&#1080;&#1077;%204%20(&#1055;&#1088;&#1086;&#1080;&#1079;&#1074;&#1086;&#1076;&#1089;&#1090;&#1074;&#1077;&#1085;&#1085;&#1099;&#1077;%20&#1087;&#1086;&#1082;&#1072;&#1079;&#1072;&#1090;&#1077;&#1083;&#1080;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amfin/&#1052;&#1086;&#1080;%20&#1076;&#1086;&#1082;&#1091;&#1084;&#1077;&#1085;&#1090;&#1099;/&#1073;&#1102;&#1076;&#1078;&#1077;&#1090;%202019-2023/&#1056;&#1057;&#1058;/&#1087;&#1088;&#1086;&#1080;&#1079;&#1074;&#1086;&#1076;&#1089;&#1090;&#1074;&#1077;&#1085;&#1085;&#1072;&#1103;%20&#1087;&#1088;&#1086;&#1075;&#1088;&#1072;&#1084;&#1084;&#1072;%20%20&#1085;&#1072;%202019&#1075;%20&#1076;&#1083;&#1103;%20&#1056;&#1057;&#105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готовая ПФХД"/>
      <sheetName val="план 2017 после ПФХД "/>
      <sheetName val="Анализ Цех №1"/>
      <sheetName val="Цех №1 "/>
      <sheetName val="Анализ Цех №2 ВС"/>
      <sheetName val="ВС"/>
      <sheetName val="Анализ Цех №2 ВО"/>
      <sheetName val="ВО"/>
      <sheetName val="Анализ Жил.Фонд"/>
      <sheetName val="Жил.фонд"/>
      <sheetName val="Анализ Русскинская "/>
      <sheetName val="Русскинская "/>
      <sheetName val="Анализ Пас.стол"/>
      <sheetName val="Пас.стол"/>
      <sheetName val="Анализ Пож.гидранты"/>
      <sheetName val="Пож.гидранты"/>
      <sheetName val="Анализ Кладбище"/>
      <sheetName val="Кладбище"/>
      <sheetName val="Анализ ПХЛ"/>
      <sheetName val="ПХЛ"/>
      <sheetName val="Анализ ЦЭРЭО"/>
      <sheetName val="ЦЭРЭО"/>
      <sheetName val="Анализ Общехоз"/>
      <sheetName val="Общехоз."/>
      <sheetName val="Свод "/>
      <sheetName val="смета полн"/>
      <sheetName val="Взаимные 12 месяцев 2017"/>
      <sheetName val="смета декабрь 2017"/>
      <sheetName val="Анализ !!!"/>
      <sheetName val="Цех 1 "/>
      <sheetName val="Цех 2 ВС"/>
      <sheetName val=" ВО"/>
      <sheetName val="ПГ"/>
      <sheetName val=" Жил.Фонд"/>
      <sheetName val=" Русскинская"/>
      <sheetName val="Произ.лаборатория"/>
      <sheetName val="Цех ЭРЭО"/>
      <sheetName val="Кладбище "/>
      <sheetName val="Пасп.стол"/>
      <sheetName val="Общехоз.расходы"/>
      <sheetName val="Регистр1"/>
      <sheetName val="Взаимные сентябрь 2017 бух.см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7">
          <cell r="H67">
            <v>23.9131</v>
          </cell>
          <cell r="Q67">
            <v>30.626449999999998</v>
          </cell>
          <cell r="T67">
            <v>0</v>
          </cell>
          <cell r="W67">
            <v>0.98984000000000005</v>
          </cell>
        </row>
        <row r="68">
          <cell r="H68">
            <v>68.03304</v>
          </cell>
          <cell r="Q68">
            <v>23.032339999999998</v>
          </cell>
          <cell r="T68">
            <v>1.9217400000000002</v>
          </cell>
          <cell r="W68">
            <v>18.148140000000001</v>
          </cell>
        </row>
        <row r="69">
          <cell r="H69">
            <v>0</v>
          </cell>
          <cell r="Q69">
            <v>0</v>
          </cell>
          <cell r="T69">
            <v>0</v>
          </cell>
          <cell r="W69">
            <v>0</v>
          </cell>
        </row>
        <row r="70">
          <cell r="H70">
            <v>50.284559999999999</v>
          </cell>
          <cell r="Q70">
            <v>0</v>
          </cell>
          <cell r="T70">
            <v>0</v>
          </cell>
          <cell r="W70">
            <v>0</v>
          </cell>
        </row>
        <row r="71">
          <cell r="H71">
            <v>0</v>
          </cell>
          <cell r="Q71">
            <v>0</v>
          </cell>
          <cell r="T71">
            <v>0</v>
          </cell>
          <cell r="W71">
            <v>0.19932</v>
          </cell>
        </row>
        <row r="72">
          <cell r="H72">
            <v>0</v>
          </cell>
          <cell r="Q72">
            <v>0</v>
          </cell>
          <cell r="T72">
            <v>0</v>
          </cell>
          <cell r="W72">
            <v>0</v>
          </cell>
        </row>
        <row r="73">
          <cell r="H73">
            <v>1030.7630199999999</v>
          </cell>
          <cell r="Q73">
            <v>401.00932999999998</v>
          </cell>
          <cell r="T73">
            <v>0</v>
          </cell>
          <cell r="W73">
            <v>0</v>
          </cell>
        </row>
        <row r="74">
          <cell r="H74">
            <v>345.09714000000002</v>
          </cell>
          <cell r="Q74">
            <v>7.4895100000000001</v>
          </cell>
          <cell r="T74">
            <v>0</v>
          </cell>
          <cell r="W74">
            <v>0</v>
          </cell>
        </row>
        <row r="75">
          <cell r="H75">
            <v>2.7254200000000002</v>
          </cell>
          <cell r="Q75">
            <v>0</v>
          </cell>
          <cell r="T75">
            <v>0</v>
          </cell>
          <cell r="W75">
            <v>0</v>
          </cell>
        </row>
        <row r="76">
          <cell r="H76">
            <v>74.532569999999993</v>
          </cell>
          <cell r="Q76">
            <v>29.76709</v>
          </cell>
          <cell r="T76">
            <v>0</v>
          </cell>
          <cell r="W76">
            <v>0</v>
          </cell>
        </row>
        <row r="77">
          <cell r="H77">
            <v>6.3097200000000004</v>
          </cell>
          <cell r="Q77">
            <v>2.9140999999999995</v>
          </cell>
          <cell r="T77">
            <v>0</v>
          </cell>
          <cell r="W77">
            <v>2.8124500000000001</v>
          </cell>
        </row>
        <row r="78">
          <cell r="H78">
            <v>0</v>
          </cell>
          <cell r="Q78">
            <v>0</v>
          </cell>
          <cell r="T78">
            <v>0</v>
          </cell>
          <cell r="W78">
            <v>0</v>
          </cell>
        </row>
        <row r="79">
          <cell r="H79">
            <v>0</v>
          </cell>
          <cell r="Q79">
            <v>0</v>
          </cell>
          <cell r="T79">
            <v>0</v>
          </cell>
          <cell r="W79">
            <v>0</v>
          </cell>
        </row>
        <row r="80">
          <cell r="H80">
            <v>1.1979000000000002</v>
          </cell>
          <cell r="Q80">
            <v>1.3176899999999998</v>
          </cell>
          <cell r="T80">
            <v>0</v>
          </cell>
          <cell r="W80">
            <v>0.83853000000000011</v>
          </cell>
        </row>
        <row r="81">
          <cell r="H81">
            <v>0</v>
          </cell>
          <cell r="Q81">
            <v>0</v>
          </cell>
          <cell r="T81">
            <v>0</v>
          </cell>
          <cell r="W81">
            <v>0</v>
          </cell>
        </row>
        <row r="82">
          <cell r="H82">
            <v>0</v>
          </cell>
          <cell r="Q82">
            <v>0</v>
          </cell>
          <cell r="T82">
            <v>0</v>
          </cell>
          <cell r="W82">
            <v>0</v>
          </cell>
        </row>
        <row r="83">
          <cell r="H83">
            <v>0</v>
          </cell>
          <cell r="Q83">
            <v>0</v>
          </cell>
          <cell r="T83">
            <v>0</v>
          </cell>
          <cell r="W83">
            <v>0</v>
          </cell>
        </row>
        <row r="84">
          <cell r="H84">
            <v>11.266259999999999</v>
          </cell>
          <cell r="Q84">
            <v>1.669E-2</v>
          </cell>
          <cell r="T84">
            <v>0</v>
          </cell>
          <cell r="W84">
            <v>0</v>
          </cell>
        </row>
        <row r="85">
          <cell r="H85">
            <v>0.89666999999999986</v>
          </cell>
          <cell r="Q85">
            <v>0</v>
          </cell>
          <cell r="T85">
            <v>0</v>
          </cell>
          <cell r="W85">
            <v>0</v>
          </cell>
        </row>
        <row r="86">
          <cell r="H86">
            <v>0</v>
          </cell>
          <cell r="Q86">
            <v>0</v>
          </cell>
          <cell r="T86">
            <v>0</v>
          </cell>
          <cell r="W86">
            <v>0</v>
          </cell>
        </row>
        <row r="87">
          <cell r="H87">
            <v>0.50085000000000002</v>
          </cell>
          <cell r="Q87">
            <v>0</v>
          </cell>
          <cell r="T87">
            <v>0</v>
          </cell>
          <cell r="W87">
            <v>0</v>
          </cell>
        </row>
        <row r="88">
          <cell r="H88">
            <v>12.406780000000001</v>
          </cell>
          <cell r="Q88">
            <v>0</v>
          </cell>
          <cell r="T88">
            <v>0</v>
          </cell>
          <cell r="W88">
            <v>0</v>
          </cell>
        </row>
        <row r="89">
          <cell r="H89">
            <v>0</v>
          </cell>
          <cell r="Q89">
            <v>0</v>
          </cell>
          <cell r="T89">
            <v>0</v>
          </cell>
          <cell r="W89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бюджет до РСТ 2018"/>
      <sheetName val="Смета 2019"/>
      <sheetName val="ФОТ 2019"/>
      <sheetName val="ВахНадб 2019"/>
      <sheetName val="ТрСетка 2019"/>
      <sheetName val="ШР на 2019г."/>
      <sheetName val="элек.эн. 2019"/>
      <sheetName val="плата за негатив.2019"/>
      <sheetName val="min прибыль"/>
      <sheetName val="Содержание 2019"/>
      <sheetName val="Текущий ремонт 2019"/>
      <sheetName val="Взаимные до РСТ2019"/>
      <sheetName val="СтрТепл2019"/>
      <sheetName val="2пот-год2019"/>
      <sheetName val="с.н-год2019"/>
      <sheetName val="СтрГВС2019"/>
      <sheetName val="Ст-ра ХВС собст2019"/>
      <sheetName val="Структ. собств. стоки2019"/>
      <sheetName val="СтрВО2019"/>
      <sheetName val="СтрХВС2019"/>
      <sheetName val="Лаборатория "/>
      <sheetName val="ЦЭРЭО "/>
      <sheetName val="Общехоз"/>
      <sheetName val="расчет объема ТКО"/>
      <sheetName val="Взаимные "/>
      <sheetName val="Ус.стор.орг."/>
      <sheetName val="Пр.материалы"/>
      <sheetName val="Экология"/>
      <sheetName val="ПР.Расходы"/>
      <sheetName val="ЛьготПр "/>
      <sheetName val="спецпитан"/>
      <sheetName val="газ"/>
      <sheetName val="Тр-т"/>
      <sheetName val="ПХЛ"/>
      <sheetName val="обучение ПХЛ"/>
      <sheetName val="спирт тех."/>
      <sheetName val="хим.реактивы"/>
      <sheetName val="Водный налог"/>
      <sheetName val="НалогИмущ"/>
      <sheetName val="Аморт"/>
      <sheetName val="Расчет мат.помощи"/>
      <sheetName val="Подарки"/>
      <sheetName val="МатПом"/>
      <sheetName val="Пенсион"/>
      <sheetName val="Юбиляры"/>
      <sheetName val="ТБО"/>
      <sheetName val="Лист1"/>
    </sheetNames>
    <sheetDataSet>
      <sheetData sheetId="0"/>
      <sheetData sheetId="1">
        <row r="42">
          <cell r="D42">
            <v>697.23360000000002</v>
          </cell>
          <cell r="F42">
            <v>5850.8098599999994</v>
          </cell>
        </row>
        <row r="44">
          <cell r="E44">
            <v>2130.2534000000001</v>
          </cell>
          <cell r="F44">
            <v>606.13134999999988</v>
          </cell>
        </row>
        <row r="45">
          <cell r="E45">
            <v>2911.5162999999998</v>
          </cell>
          <cell r="F45">
            <v>1838.8551499999999</v>
          </cell>
        </row>
        <row r="47">
          <cell r="D47">
            <v>1168.1300000000001</v>
          </cell>
        </row>
        <row r="48">
          <cell r="D48">
            <v>112.40792999999999</v>
          </cell>
          <cell r="F48">
            <v>63.719490000000008</v>
          </cell>
        </row>
        <row r="55">
          <cell r="D55">
            <v>103.2</v>
          </cell>
        </row>
        <row r="56">
          <cell r="D56">
            <v>90.566659999999999</v>
          </cell>
        </row>
        <row r="60">
          <cell r="D60">
            <v>174.84835000000001</v>
          </cell>
          <cell r="F60">
            <v>24.198580000000003</v>
          </cell>
        </row>
        <row r="61">
          <cell r="D61">
            <v>28.893299999999996</v>
          </cell>
        </row>
        <row r="84">
          <cell r="D84">
            <v>393.68036039999998</v>
          </cell>
          <cell r="E84">
            <v>505.69232799999997</v>
          </cell>
          <cell r="F84">
            <v>207.06</v>
          </cell>
        </row>
        <row r="85">
          <cell r="D85">
            <v>180.26664000000002</v>
          </cell>
        </row>
        <row r="86">
          <cell r="D86">
            <v>29.037139999999997</v>
          </cell>
          <cell r="F86">
            <v>49.12801000000001</v>
          </cell>
        </row>
        <row r="87">
          <cell r="D87">
            <v>39.636969200000003</v>
          </cell>
          <cell r="F87">
            <v>62.401174099999999</v>
          </cell>
        </row>
        <row r="88">
          <cell r="D88">
            <v>98.239519999999999</v>
          </cell>
          <cell r="F88">
            <v>115.32852000000001</v>
          </cell>
        </row>
        <row r="89">
          <cell r="D89">
            <v>8561.0966799999951</v>
          </cell>
          <cell r="F89">
            <v>2200.0092844000001</v>
          </cell>
        </row>
        <row r="90">
          <cell r="D90">
            <v>43.044379999999997</v>
          </cell>
          <cell r="F90">
            <v>24.268999999999998</v>
          </cell>
        </row>
        <row r="91">
          <cell r="D91">
            <v>342.61039</v>
          </cell>
          <cell r="F91">
            <v>241.79416000000001</v>
          </cell>
        </row>
        <row r="95">
          <cell r="D95">
            <v>88.91849999999998</v>
          </cell>
          <cell r="F95">
            <v>179.11607999999998</v>
          </cell>
        </row>
        <row r="96">
          <cell r="D96">
            <v>10.095840000000001</v>
          </cell>
          <cell r="F96">
            <v>4.4870400000000012</v>
          </cell>
        </row>
        <row r="97">
          <cell r="D97">
            <v>2.3906399999999999</v>
          </cell>
          <cell r="F97">
            <v>6.5742599999999989</v>
          </cell>
        </row>
        <row r="99">
          <cell r="D99">
            <v>3.15984</v>
          </cell>
        </row>
        <row r="100">
          <cell r="D100">
            <v>5.1580000000000004</v>
          </cell>
          <cell r="F100">
            <v>1.474</v>
          </cell>
        </row>
        <row r="101">
          <cell r="D101">
            <v>85.084190000000007</v>
          </cell>
          <cell r="F101">
            <v>63.296190000000003</v>
          </cell>
        </row>
        <row r="102">
          <cell r="D102">
            <v>210.75647666666669</v>
          </cell>
          <cell r="F102">
            <v>142.75537666666665</v>
          </cell>
        </row>
        <row r="107">
          <cell r="D107">
            <v>15.01642</v>
          </cell>
          <cell r="F107">
            <v>3.8437759999999996</v>
          </cell>
        </row>
        <row r="108">
          <cell r="D108">
            <v>151.6645</v>
          </cell>
          <cell r="F108">
            <v>18.526402000000001</v>
          </cell>
        </row>
        <row r="114">
          <cell r="D114">
            <v>21.333320000000001</v>
          </cell>
        </row>
        <row r="115">
          <cell r="D115">
            <v>103.29898</v>
          </cell>
        </row>
        <row r="124">
          <cell r="D124">
            <v>1069.1786599999998</v>
          </cell>
        </row>
        <row r="125">
          <cell r="F125">
            <v>318.54300000000001</v>
          </cell>
        </row>
        <row r="126">
          <cell r="F126">
            <v>204.22026</v>
          </cell>
        </row>
        <row r="127">
          <cell r="F127">
            <v>81.255669999999995</v>
          </cell>
        </row>
        <row r="133">
          <cell r="F133">
            <v>336.34692000000001</v>
          </cell>
        </row>
        <row r="136">
          <cell r="D136">
            <v>3.3664199999999997</v>
          </cell>
        </row>
        <row r="137">
          <cell r="D137">
            <v>101.22018</v>
          </cell>
        </row>
        <row r="140">
          <cell r="D140">
            <v>4.93875112</v>
          </cell>
        </row>
        <row r="141">
          <cell r="D141">
            <v>1.7274092600000002</v>
          </cell>
        </row>
        <row r="175">
          <cell r="D175">
            <v>731.4135576000001</v>
          </cell>
        </row>
        <row r="176">
          <cell r="D176">
            <v>133.68333000000001</v>
          </cell>
          <cell r="H176">
            <v>16.785</v>
          </cell>
        </row>
        <row r="177">
          <cell r="D177">
            <v>65.858249999999998</v>
          </cell>
        </row>
        <row r="179">
          <cell r="D179">
            <v>170.28892999999999</v>
          </cell>
        </row>
        <row r="181">
          <cell r="D181">
            <v>710.25670000000002</v>
          </cell>
        </row>
        <row r="182">
          <cell r="F182">
            <v>213.07701</v>
          </cell>
        </row>
        <row r="184">
          <cell r="D184">
            <v>44.433333333333337</v>
          </cell>
          <cell r="E184">
            <v>44.433333333333337</v>
          </cell>
          <cell r="F184">
            <v>44.433333333333337</v>
          </cell>
        </row>
        <row r="193">
          <cell r="H193">
            <v>1492.0907999999999</v>
          </cell>
        </row>
        <row r="200">
          <cell r="D200">
            <v>750.60056000000009</v>
          </cell>
          <cell r="E200">
            <v>950.54221866666649</v>
          </cell>
          <cell r="F200">
            <v>856.45333200000005</v>
          </cell>
        </row>
        <row r="287">
          <cell r="D287">
            <v>5380.4896846140309</v>
          </cell>
          <cell r="E287">
            <v>662.41827738556526</v>
          </cell>
          <cell r="F287">
            <v>1240.0104153225561</v>
          </cell>
        </row>
        <row r="288">
          <cell r="D288">
            <v>7755.7200630593325</v>
          </cell>
          <cell r="E288">
            <v>954.84445193671456</v>
          </cell>
          <cell r="F288">
            <v>1787.4160569475328</v>
          </cell>
        </row>
        <row r="304">
          <cell r="D304">
            <v>-8.8667118269796944E-13</v>
          </cell>
          <cell r="E304">
            <v>-1.0916240563192233E-13</v>
          </cell>
          <cell r="F304">
            <v>-2.0434599190031201E-13</v>
          </cell>
        </row>
        <row r="305">
          <cell r="D305">
            <v>827.37880955776961</v>
          </cell>
          <cell r="E305">
            <v>101.86263293837969</v>
          </cell>
          <cell r="F305">
            <v>190.68122074513542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Контакты"/>
      <sheetName val="ТС (производство)"/>
      <sheetName val="ТС (передача)"/>
      <sheetName val="ХВС"/>
      <sheetName val="ВО"/>
      <sheetName val="Свод"/>
      <sheetName val="Результаты загрузки"/>
      <sheetName val="Проверка"/>
      <sheetName val="modfrmActivity"/>
      <sheetName val="TECHSHEET"/>
      <sheetName val="TECH_HORISONTAL"/>
      <sheetName val="modGetGeoBase"/>
      <sheetName val="REESTR_ORG"/>
      <sheetName val="REESTR_MO"/>
      <sheetName val="AUTHORISATION"/>
      <sheetName val="MCI_DATA"/>
      <sheetName val="SMR_DATA"/>
      <sheetName val="LIST_OPTIONS"/>
      <sheetName val="LIST_SUBSIDIARY"/>
      <sheetName val="modInjectData"/>
      <sheetName val="modInfo"/>
      <sheetName val="modUIButtons"/>
      <sheetName val="modVLDCommonProv"/>
      <sheetName val="modVLDIntegrityProv"/>
      <sheetName val="modVLDProv"/>
      <sheetName val="modCommonProcedures"/>
      <sheetName val="modfrmRegion"/>
      <sheetName val="modVLDProvGeneralProc"/>
      <sheetName val="modVLDOrgUniqueness"/>
      <sheetName val="modfrmReestr"/>
      <sheetName val="modUpdTemplMain"/>
      <sheetName val="modfrmCheckUpdates"/>
      <sheetName val="modGeneralProcedures"/>
      <sheetName val="modRequestSpecificData"/>
      <sheetName val="modRequestReestrData"/>
      <sheetName val="modfrmDateChoose"/>
      <sheetName val="modfrmReportMode"/>
      <sheetName val="modListOrg"/>
      <sheetName val="modLoad_Svod"/>
      <sheetName val="modOpen"/>
    </sheetNames>
    <sheetDataSet>
      <sheetData sheetId="0" refreshError="1"/>
      <sheetData sheetId="1" refreshError="1"/>
      <sheetData sheetId="2" refreshError="1"/>
      <sheetData sheetId="3">
        <row r="10">
          <cell r="G10" t="str">
            <v>Ханты-Мансийский автономный округ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M8">
            <v>2017</v>
          </cell>
        </row>
        <row r="28">
          <cell r="G28" t="str">
            <v>питьевая вода</v>
          </cell>
        </row>
        <row r="29">
          <cell r="G29" t="str">
            <v>техническая вода</v>
          </cell>
        </row>
        <row r="60">
          <cell r="K60" t="str">
            <v>1</v>
          </cell>
        </row>
        <row r="61">
          <cell r="K61" t="str">
            <v>2</v>
          </cell>
        </row>
        <row r="62">
          <cell r="K62" t="str">
            <v>3</v>
          </cell>
        </row>
        <row r="65">
          <cell r="K65" t="str">
            <v>0</v>
          </cell>
        </row>
        <row r="66">
          <cell r="K66" t="str">
            <v>1</v>
          </cell>
        </row>
        <row r="67">
          <cell r="K67" t="str">
            <v>2</v>
          </cell>
        </row>
        <row r="68">
          <cell r="K68" t="str">
            <v>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7">
          <cell r="B7" t="str">
            <v>1 10 51 | Полные товарищества</v>
          </cell>
        </row>
        <row r="8">
          <cell r="B8" t="str">
            <v>1 10 64 | Товарищества на вере (коммандитные товарищества)</v>
          </cell>
        </row>
        <row r="9">
          <cell r="B9" t="str">
            <v>1 22 47 | Публичные акционерные общества</v>
          </cell>
        </row>
        <row r="10">
          <cell r="B10" t="str">
            <v>1 22 67 | Непубличные акционерные общества</v>
          </cell>
        </row>
        <row r="11">
          <cell r="B11" t="str">
            <v>1 23 00 | Общества с ограниченной ответственностью</v>
          </cell>
        </row>
        <row r="12">
          <cell r="B12" t="str">
            <v>1 30 00 | Хозяйственные партнерства</v>
          </cell>
        </row>
        <row r="13">
          <cell r="B13" t="str">
            <v>1 41 53 | Сельскохозяйственные артели (колхозы)</v>
          </cell>
        </row>
        <row r="14">
          <cell r="B14" t="str">
            <v>1 41 54 | Рыболовецкие артели (колхозы)</v>
          </cell>
        </row>
        <row r="15">
          <cell r="B15" t="str">
            <v>1 41 55 | Кооперативные хозяйства (коопхозы)</v>
          </cell>
        </row>
        <row r="16">
          <cell r="B16" t="str">
            <v>1 42 00 | Производственные кооперативы (кроме сельскохозяйственных производственных кооперативов)</v>
          </cell>
        </row>
        <row r="17">
          <cell r="B17" t="str">
            <v>1 53 00 | Крестьянские (фермерские) хозяйства</v>
          </cell>
        </row>
        <row r="18">
          <cell r="B18" t="str">
            <v>1 90 00 | Прочие юридические лица, являющиеся коммерческими организациями</v>
          </cell>
        </row>
        <row r="19">
          <cell r="B19" t="str">
            <v>2 01 01 | Гаражные и гаражно-строительные кооперативы</v>
          </cell>
        </row>
        <row r="20">
          <cell r="B20" t="str">
            <v>2 01 02 | Жилищные или жилищно-строительные кооперативы</v>
          </cell>
        </row>
        <row r="21">
          <cell r="B21" t="str">
            <v>2 01 03 | Жилищные накопительные кооперативы</v>
          </cell>
        </row>
        <row r="22">
          <cell r="B22" t="str">
            <v>2 01 04 | Кредитные потребительские кооперативы</v>
          </cell>
        </row>
        <row r="23">
          <cell r="B23" t="str">
            <v>2 01 05 | Кредитные потребительские кооперативы граждан</v>
          </cell>
        </row>
        <row r="24">
          <cell r="B24" t="str">
            <v>2 01 06 | Кредитные кооперативы второго уровня</v>
          </cell>
        </row>
        <row r="25">
          <cell r="B25" t="str">
            <v>2 01 07 | Потребительские общества</v>
          </cell>
        </row>
        <row r="26">
          <cell r="B26" t="str">
            <v>2 01 08 | Общества взаимного страхования</v>
          </cell>
        </row>
        <row r="27">
          <cell r="B27" t="str">
            <v>2 01 09 | Сельскохозяйственные потребительские перерабатывающие кооперативы</v>
          </cell>
        </row>
        <row r="28">
          <cell r="B28" t="str">
            <v>2 01 10 | Сельскохозяйственные потребительские сбытовые (торговые) кооперативы</v>
          </cell>
        </row>
        <row r="29">
          <cell r="B29" t="str">
            <v>2 01 11 | Сельскохозяйственные потребительские обслуживающие кооперативы</v>
          </cell>
        </row>
        <row r="30">
          <cell r="B30" t="str">
            <v>2 01 12 | Сельскохозяйственные потребительские снабженческие кооперативы</v>
          </cell>
        </row>
        <row r="31">
          <cell r="B31" t="str">
            <v>2 01 13 | Сельскохозяйственные потребительские садоводческие кооперативы</v>
          </cell>
        </row>
        <row r="32">
          <cell r="B32" t="str">
            <v>2 01 14 | Сельскохозяйственные потребительские огороднические кооперативы</v>
          </cell>
        </row>
        <row r="33">
          <cell r="B33" t="str">
            <v>2 01 15 | Сельскохозяйственные потребительские животноводческие кооперативы</v>
          </cell>
        </row>
        <row r="34">
          <cell r="B34" t="str">
            <v>2 01 20 | Садоводческие, огороднические или дачные потребительские кооперативы</v>
          </cell>
        </row>
        <row r="35">
          <cell r="B35" t="str">
            <v>2 01 21 | Фонды проката</v>
          </cell>
        </row>
        <row r="36">
          <cell r="B36" t="str">
            <v>2 02 01 | Политические партии</v>
          </cell>
        </row>
        <row r="37">
          <cell r="B37" t="str">
            <v>2 02 02 | Профсоюзные организации</v>
          </cell>
        </row>
        <row r="38">
          <cell r="B38" t="str">
            <v>2 02 10 | Общественные движения</v>
          </cell>
        </row>
        <row r="39">
          <cell r="B39" t="str">
            <v>2 02 11 | Органы общественной самодеятельности</v>
          </cell>
        </row>
        <row r="40">
          <cell r="B40" t="str">
            <v>2 02 17 | Территориальные общественные самоуправления</v>
          </cell>
        </row>
        <row r="41">
          <cell r="B41" t="str">
            <v>2 06 01 | Ассоциации (союзы) экономического взаимодействия субъектов Российской Федерации</v>
          </cell>
        </row>
        <row r="42">
          <cell r="B42" t="str">
            <v>2 06 03 | Советы муниципальных образований субъектов Российской Федерации</v>
          </cell>
        </row>
        <row r="43">
          <cell r="B43" t="str">
            <v>2 06 04 | Союзы (ассоциации) кредитных кооперативов</v>
          </cell>
        </row>
        <row r="44">
          <cell r="B44" t="str">
            <v>2 06 05 | Союзы (ассоциации) кооперативов</v>
          </cell>
        </row>
        <row r="45">
          <cell r="B45" t="str">
            <v>2 06 06 | Союзы (ассоциации) общественных объединений</v>
          </cell>
        </row>
        <row r="46">
          <cell r="B46" t="str">
            <v>2 06 07 | Союзы (ассоциации) общин малочисленных народов</v>
          </cell>
        </row>
        <row r="47">
          <cell r="B47" t="str">
            <v>2 06 08 | Союзы потребительских обществ</v>
          </cell>
        </row>
        <row r="48">
          <cell r="B48" t="str">
            <v>2 06 09 | Адвокатские палаты</v>
          </cell>
        </row>
        <row r="49">
          <cell r="B49" t="str">
            <v>2 06 10 | Нотариальные палаты</v>
          </cell>
        </row>
        <row r="50">
          <cell r="B50" t="str">
            <v>2 06 11 | Торгово-промышленные палаты</v>
          </cell>
        </row>
        <row r="51">
          <cell r="B51" t="str">
            <v>2 06 12 | Объединения работодателей</v>
          </cell>
        </row>
        <row r="52">
          <cell r="B52" t="str">
            <v>2 06 13 | Объединения фермерских хозяйств</v>
          </cell>
        </row>
        <row r="53">
          <cell r="B53" t="str">
            <v>2 06 14 | Некоммерческие партнерства</v>
          </cell>
        </row>
        <row r="54">
          <cell r="B54" t="str">
            <v>2 06 15 | Адвокатские бюро</v>
          </cell>
        </row>
        <row r="55">
          <cell r="B55" t="str">
            <v>2 06 16 | Коллегии адвокатов</v>
          </cell>
        </row>
        <row r="56">
          <cell r="B56" t="str">
            <v>2 06 17 | Садоводческие, огороднические или дачные некоммерческие партнерства</v>
          </cell>
        </row>
        <row r="57">
          <cell r="B57" t="str">
            <v>2 06 18 | Ассоциации (союзы) садоводческих, огороднических и дачных некоммерческих объединений</v>
          </cell>
        </row>
        <row r="58">
          <cell r="B58" t="str">
            <v>2 06 19 | Саморегулируемые организации</v>
          </cell>
        </row>
        <row r="59">
          <cell r="B59" t="str">
            <v>2 06 20 | Объединения (ассоциации и союзы) благотворительных организаций</v>
          </cell>
        </row>
        <row r="60">
          <cell r="B60" t="str">
            <v>2 07 01 | Садоводческие, огороднические или дачные некоммерческие товарищества</v>
          </cell>
        </row>
        <row r="61">
          <cell r="B61" t="str">
            <v>2 07 16 | Товарищества собственников жилья</v>
          </cell>
        </row>
        <row r="62">
          <cell r="B62" t="str">
            <v>2 11 00 | Казачьи общества, внесенные в государственный реестр казачьих обществ в Российской Федерации</v>
          </cell>
        </row>
        <row r="63">
          <cell r="B63" t="str">
            <v>2 12 00 | Общины коренных малочисленных народов Российской Федерации</v>
          </cell>
        </row>
        <row r="64">
          <cell r="B64" t="str">
            <v>3 00 01 | Представительства юридических лиц</v>
          </cell>
        </row>
        <row r="65">
          <cell r="B65" t="str">
            <v>3 00 02 | Филиалы юридических лиц</v>
          </cell>
        </row>
        <row r="66">
          <cell r="B66" t="str">
            <v>3 00 03 | Обособленные подразделения юридических лиц</v>
          </cell>
        </row>
        <row r="67">
          <cell r="B67" t="str">
            <v>3 00 04 | Структурные подразделения обособленных подразделений юридических лиц</v>
          </cell>
        </row>
        <row r="68">
          <cell r="B68" t="str">
            <v>3 00 05 | Паевые инвестиционные фонды</v>
          </cell>
        </row>
        <row r="69">
          <cell r="B69" t="str">
            <v>3 00 06 | Простые товарищества</v>
          </cell>
        </row>
        <row r="70">
          <cell r="B70" t="str">
            <v>3 00 08 | Районные суды, городские суды, межрайонные суды (районные суды)</v>
          </cell>
        </row>
        <row r="71">
          <cell r="B71" t="str">
            <v>4 00 01 | Межправительственные международные организации</v>
          </cell>
        </row>
        <row r="72">
          <cell r="B72" t="str">
            <v>4 00 02 | Неправительственные международные организации</v>
          </cell>
        </row>
        <row r="73">
          <cell r="B73" t="str">
            <v>5 01 01 | Главы крестьянских (фермерских) хозяйств</v>
          </cell>
        </row>
        <row r="74">
          <cell r="B74" t="str">
            <v>5 01 02 | Индивидуальные предприниматели</v>
          </cell>
        </row>
        <row r="75">
          <cell r="B75" t="str">
            <v>5 02 01 | Адвокаты, учредившие адвокатский кабинет</v>
          </cell>
        </row>
        <row r="76">
          <cell r="B76" t="str">
            <v>5 02 02 | Нотариусы, занимающиеся частной практикой</v>
          </cell>
        </row>
        <row r="77">
          <cell r="B77" t="str">
            <v>6 51 41 | Федеральные казенные предприятия</v>
          </cell>
        </row>
        <row r="78">
          <cell r="B78" t="str">
            <v>6 51 42 | Казенные предприятия субъектов Российской Федерации</v>
          </cell>
        </row>
        <row r="79">
          <cell r="B79" t="str">
            <v>6 51 43 | Муниципальные казенные предприятия</v>
          </cell>
        </row>
        <row r="80">
          <cell r="B80" t="str">
            <v>6 52 41 | Федеральные государственные унитарные предприятия</v>
          </cell>
        </row>
        <row r="81">
          <cell r="B81" t="str">
            <v>6 52 42 | Государственные унитарные предприятия субъектов Российской Федерации</v>
          </cell>
        </row>
        <row r="82">
          <cell r="B82" t="str">
            <v>6 52 43 | Муниципальные унитарные предприятия</v>
          </cell>
        </row>
        <row r="83">
          <cell r="B83" t="str">
            <v>7 04 01 | Благотворительные фонды</v>
          </cell>
        </row>
        <row r="84">
          <cell r="B84" t="str">
            <v>7 04 02 | Негосударственные пенсионные фонды</v>
          </cell>
        </row>
        <row r="85">
          <cell r="B85" t="str">
            <v>7 04 03 | Общественные фонды</v>
          </cell>
        </row>
        <row r="86">
          <cell r="B86" t="str">
            <v>7 04 04 | Экологические фонды</v>
          </cell>
        </row>
        <row r="87">
          <cell r="B87" t="str">
            <v>7 14 00 | Автономные некоммерческие организации</v>
          </cell>
        </row>
        <row r="88">
          <cell r="B88" t="str">
            <v>7 15 00 | Религиозные организации</v>
          </cell>
        </row>
        <row r="89">
          <cell r="B89" t="str">
            <v>7 16 01 | Государственные корпорации</v>
          </cell>
        </row>
        <row r="90">
          <cell r="B90" t="str">
            <v>7 16 02 | Государственные компании</v>
          </cell>
        </row>
        <row r="91">
          <cell r="B91" t="str">
            <v>7 16 10 | Отделения иностранных некоммерческих неправительственных организаций</v>
          </cell>
        </row>
        <row r="92">
          <cell r="B92" t="str">
            <v>7 51 01 | Федеральные государственные автономные учреждения</v>
          </cell>
        </row>
        <row r="93">
          <cell r="B93" t="str">
            <v>7 51 03 | Федеральные государственные бюджетные учреждения</v>
          </cell>
        </row>
        <row r="94">
          <cell r="B94" t="str">
            <v>7 51 04 | Федеральные государственные казенные учреждения</v>
          </cell>
        </row>
        <row r="95">
          <cell r="B95" t="str">
            <v>7 52 01 | Государственные автономные учреждения субъектов Российской Федерации</v>
          </cell>
        </row>
        <row r="96">
          <cell r="B96" t="str">
            <v>7 52 03 | Государственные бюджетные учреждения субъектов Российской Федерации</v>
          </cell>
        </row>
        <row r="97">
          <cell r="B97" t="str">
            <v>7 52 04 | Государственные казенные учреждения субъектов Российской Федерации</v>
          </cell>
        </row>
        <row r="98">
          <cell r="B98" t="str">
            <v>7 53 00 | Государственные академии наук</v>
          </cell>
        </row>
        <row r="99">
          <cell r="B99" t="str">
            <v>7 54 01 | Муниципальные автономные учреждения</v>
          </cell>
        </row>
        <row r="100">
          <cell r="B100" t="str">
            <v>7 54 03 | Муниципальные бюджетные учреждения</v>
          </cell>
        </row>
        <row r="101">
          <cell r="B101" t="str">
            <v>7 54 04 | Муниципальные казенные учреждения</v>
          </cell>
        </row>
        <row r="102">
          <cell r="B102" t="str">
            <v>7 55 00 | Частные учреждения</v>
          </cell>
        </row>
        <row r="103">
          <cell r="B103" t="str">
            <v>7 55 02 | Благотворительные учреждения</v>
          </cell>
        </row>
        <row r="104">
          <cell r="B104" t="str">
            <v>7 55 05 | Общественные учреждения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дексация"/>
      <sheetName val="ф.1."/>
      <sheetName val="ф.1.1."/>
      <sheetName val="ф.1.2."/>
      <sheetName val="ф.1.3."/>
      <sheetName val="ф.2"/>
      <sheetName val="ф.2.1."/>
      <sheetName val="ф.2.2."/>
      <sheetName val="ф.3"/>
      <sheetName val="ф.4"/>
      <sheetName val="ф.5"/>
      <sheetName val="ф.6"/>
      <sheetName val="ф.7"/>
      <sheetName val="ф.8"/>
      <sheetName val="ф.9"/>
      <sheetName val="ф.10"/>
      <sheetName val="ф. 11"/>
      <sheetName val="ф.12 "/>
      <sheetName val="ф.13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Методология"/>
      <sheetName val="Лог обновления"/>
      <sheetName val="Титульный"/>
      <sheetName val="Производственные показатели"/>
      <sheetName val="Произв. показатели (итог)"/>
      <sheetName val="Финансовые показатели"/>
      <sheetName val="Фин. показатели (итог)"/>
      <sheetName val="Комментарии"/>
      <sheetName val="Проверка"/>
      <sheetName val="TEHSHEET"/>
      <sheetName val="et_union"/>
      <sheetName val="mod_wb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_Tit"/>
      <sheetName val="modCheck"/>
      <sheetName val="modCommandButton"/>
      <sheetName val="modLoad"/>
      <sheetName val="modfrmReestr"/>
      <sheetName val="modfrmDateChoose"/>
      <sheetName val="REESTR_MO"/>
      <sheetName val="mod_01"/>
      <sheetName val="mod_02"/>
      <sheetName val="mod_03"/>
      <sheetName val="mod_04"/>
      <sheetName val="REESTR_FILTERED"/>
      <sheetName val="REESTR_ORG_VS"/>
    </sheetNames>
    <sheetDataSet>
      <sheetData sheetId="0"/>
      <sheetData sheetId="1"/>
      <sheetData sheetId="2"/>
      <sheetData sheetId="3">
        <row r="21">
          <cell r="D21">
            <v>2014</v>
          </cell>
        </row>
        <row r="22">
          <cell r="D22" t="str">
            <v>4 квартал</v>
          </cell>
        </row>
        <row r="30">
          <cell r="D30" t="str">
            <v>Муниципальное унитарное предприятие города Нижневартовска "Горводоканал"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">
          <cell r="R4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Методология"/>
      <sheetName val="Титульный"/>
      <sheetName val="Производственные показатели"/>
      <sheetName val="Произв. показатели (итог)"/>
      <sheetName val="Финансовые показатели"/>
      <sheetName val="Фин. показатели (итог)"/>
      <sheetName val="Комментарии"/>
      <sheetName val="Проверка"/>
      <sheetName val="TEHSHEET"/>
      <sheetName val="et_union"/>
      <sheetName val="mod_wb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_Tit"/>
      <sheetName val="modCheck"/>
      <sheetName val="modCommandButton"/>
      <sheetName val="modLoad"/>
      <sheetName val="modfrmReestr"/>
      <sheetName val="modfrmDateChoose"/>
      <sheetName val="mod_01"/>
      <sheetName val="mod_02"/>
      <sheetName val="mod_03"/>
      <sheetName val="mod_04"/>
      <sheetName val="REESTR_MO"/>
      <sheetName val="REESTR_FILTERED"/>
      <sheetName val="REESTR_ORG_VO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S2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ОЯСН"/>
      <sheetName val="ПАС"/>
      <sheetName val="Приложение 1.1 (Баланс ВС)"/>
      <sheetName val="Прил. 1 (Баланс ВО)"/>
      <sheetName val="Подвоз воды"/>
      <sheetName val="ОУ"/>
      <sheetName val="Тех"/>
      <sheetName val="ИВ"/>
      <sheetName val="Эл"/>
      <sheetName val="СобП"/>
      <sheetName val="ПрН"/>
      <sheetName val="Бюдж"/>
      <sheetName val="Проч"/>
      <sheetName val="Утеч"/>
      <sheetName val="Проб"/>
      <sheetName val="Хим"/>
      <sheetName val="Расч. Эф"/>
      <sheetName val="Лист3"/>
      <sheetName val="Расч.Эф"/>
      <sheetName val="Лист1"/>
    </sheetNames>
    <sheetDataSet>
      <sheetData sheetId="0"/>
      <sheetData sheetId="1">
        <row r="1">
          <cell r="BB1" t="str">
            <v>питьевая</v>
          </cell>
        </row>
        <row r="2">
          <cell r="BB2" t="str">
            <v>техническая</v>
          </cell>
        </row>
        <row r="3">
          <cell r="AS3" t="str">
            <v>да</v>
          </cell>
        </row>
        <row r="4">
          <cell r="AS4" t="str">
            <v>нет</v>
          </cell>
        </row>
        <row r="8">
          <cell r="BB8" t="str">
            <v>1 год</v>
          </cell>
        </row>
        <row r="9">
          <cell r="BB9" t="str">
            <v>2 года</v>
          </cell>
        </row>
        <row r="10">
          <cell r="BB10" t="str">
            <v>3 года</v>
          </cell>
        </row>
        <row r="11">
          <cell r="BB11" t="str">
            <v xml:space="preserve">4 года </v>
          </cell>
        </row>
        <row r="12">
          <cell r="BB12" t="str">
            <v>5 лет</v>
          </cell>
        </row>
        <row r="17">
          <cell r="BC17" t="str">
            <v>г.Тюмень</v>
          </cell>
        </row>
        <row r="18">
          <cell r="BC18" t="str">
            <v>г.Тобольск</v>
          </cell>
        </row>
        <row r="19">
          <cell r="BC19" t="str">
            <v>г.Ялуторовск</v>
          </cell>
        </row>
        <row r="20">
          <cell r="BC20" t="str">
            <v>Заводоуковский городской округ</v>
          </cell>
        </row>
        <row r="21">
          <cell r="BC21" t="str">
            <v>Абатский муниципальный район</v>
          </cell>
        </row>
        <row r="22">
          <cell r="BC22" t="str">
            <v>Армизонский муниципальный район</v>
          </cell>
        </row>
        <row r="23">
          <cell r="BC23" t="str">
            <v>Аромашевский муниципальный район</v>
          </cell>
        </row>
        <row r="24">
          <cell r="BC24" t="str">
            <v>Бердюжский муниципальный район</v>
          </cell>
        </row>
        <row r="25">
          <cell r="BC25" t="str">
            <v>Вагайский муниципальный район</v>
          </cell>
        </row>
        <row r="26">
          <cell r="BC26" t="str">
            <v>Викуловский муниципальный район</v>
          </cell>
        </row>
        <row r="27">
          <cell r="BC27" t="str">
            <v>Голышмановский муниципальный район</v>
          </cell>
        </row>
        <row r="28">
          <cell r="BC28" t="str">
            <v>Исетский муниципальный район</v>
          </cell>
        </row>
        <row r="29">
          <cell r="BC29" t="str">
            <v>Ишимский муниципальный район</v>
          </cell>
        </row>
        <row r="30">
          <cell r="BC30" t="str">
            <v>Казанский муниципальный район</v>
          </cell>
        </row>
        <row r="31">
          <cell r="BC31" t="str">
            <v>Нижнетавдинский муниципальный район</v>
          </cell>
        </row>
        <row r="32">
          <cell r="BC32" t="str">
            <v>Омутинский муниципальный район</v>
          </cell>
        </row>
        <row r="33">
          <cell r="BC33" t="str">
            <v>Сладковский муниципальный район</v>
          </cell>
        </row>
        <row r="34">
          <cell r="BC34" t="str">
            <v>Сорокинский муниципальный район</v>
          </cell>
        </row>
        <row r="35">
          <cell r="BC35" t="str">
            <v>Тобольский муниципальный район</v>
          </cell>
        </row>
        <row r="36">
          <cell r="BC36" t="str">
            <v>Тюменский муниципальный район</v>
          </cell>
        </row>
        <row r="37">
          <cell r="BB37" t="str">
            <v>ОСНО</v>
          </cell>
          <cell r="BC37" t="str">
            <v>Уватский муниципальный район</v>
          </cell>
        </row>
        <row r="38">
          <cell r="BB38" t="str">
            <v>ЕСХН</v>
          </cell>
          <cell r="BC38" t="str">
            <v>Упоровский муниципальный район</v>
          </cell>
        </row>
        <row r="39">
          <cell r="BB39" t="str">
            <v>УСНО</v>
          </cell>
          <cell r="BC39" t="str">
            <v>Юргинский муниципальный район</v>
          </cell>
        </row>
        <row r="40">
          <cell r="BC40" t="str">
            <v>Ялуторовский муниципальный район</v>
          </cell>
        </row>
        <row r="41">
          <cell r="BC41" t="str">
            <v>Ярковский муниципальный район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 понижающим коэфициентом"/>
      <sheetName val="графики"/>
      <sheetName val="жил.фонд Федор"/>
      <sheetName val="с.н-год"/>
      <sheetName val="2пот-квар"/>
      <sheetName val="2пот-год"/>
      <sheetName val="Топливо"/>
      <sheetName val="расш.топлива"/>
      <sheetName val="табл.3"/>
      <sheetName val="таблица№4"/>
      <sheetName val="таблица5"/>
      <sheetName val="мониторинг факт 2017г."/>
      <sheetName val="мониторинг ожидаемый 2019г."/>
      <sheetName val="РЭК"/>
      <sheetName val="таблица №2"/>
      <sheetName val="Техн.цех1"/>
      <sheetName val="т.э.Федор"/>
      <sheetName val="ст.ор.Ф"/>
      <sheetName val="ГВС"/>
      <sheetName val="табл.1"/>
      <sheetName val="таблица4"/>
      <sheetName val="собст.нужды"/>
      <sheetName val="таблица 2"/>
      <sheetName val="анализ"/>
      <sheetName val="сравн.по структуре"/>
      <sheetName val="структура р.п"/>
      <sheetName val="Лист7"/>
    </sheetNames>
    <sheetDataSet>
      <sheetData sheetId="0"/>
      <sheetData sheetId="1"/>
      <sheetData sheetId="2"/>
      <sheetData sheetId="3">
        <row r="268">
          <cell r="M268">
            <v>25.028469999999999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5">
          <cell r="C15">
            <v>16054</v>
          </cell>
        </row>
        <row r="17">
          <cell r="C17">
            <v>24146</v>
          </cell>
        </row>
        <row r="19">
          <cell r="C19">
            <v>84805</v>
          </cell>
        </row>
        <row r="21">
          <cell r="C21">
            <v>11619.687999999998</v>
          </cell>
        </row>
        <row r="23">
          <cell r="C23">
            <v>20656</v>
          </cell>
        </row>
        <row r="26">
          <cell r="C26">
            <v>33028.877165722748</v>
          </cell>
        </row>
      </sheetData>
      <sheetData sheetId="18">
        <row r="58">
          <cell r="D58">
            <v>8.9444999999999997</v>
          </cell>
        </row>
        <row r="179">
          <cell r="D179">
            <v>10.689200000000001</v>
          </cell>
        </row>
      </sheetData>
      <sheetData sheetId="19"/>
      <sheetData sheetId="20"/>
      <sheetData sheetId="21"/>
      <sheetData sheetId="22"/>
      <sheetData sheetId="23"/>
      <sheetData sheetId="24">
        <row r="17">
          <cell r="Y17">
            <v>14611</v>
          </cell>
        </row>
      </sheetData>
      <sheetData sheetId="25">
        <row r="29">
          <cell r="K29">
            <v>85000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1:J66"/>
  <sheetViews>
    <sheetView tabSelected="1" view="pageBreakPreview" topLeftCell="A7" zoomScale="90" zoomScaleNormal="100" zoomScaleSheetLayoutView="90" workbookViewId="0">
      <selection activeCell="A19" sqref="A19:J19"/>
    </sheetView>
  </sheetViews>
  <sheetFormatPr defaultColWidth="12.140625" defaultRowHeight="15"/>
  <cols>
    <col min="1" max="1" width="4.7109375" style="123" customWidth="1"/>
    <col min="2" max="2" width="39.7109375" style="123" customWidth="1"/>
    <col min="3" max="3" width="14.5703125" style="123" customWidth="1"/>
    <col min="4" max="4" width="16.85546875" style="123" customWidth="1"/>
    <col min="5" max="5" width="10.42578125" style="123" customWidth="1"/>
    <col min="6" max="6" width="10" style="123" customWidth="1"/>
    <col min="7" max="7" width="11.42578125" style="123" customWidth="1"/>
    <col min="8" max="8" width="16.5703125" style="123" customWidth="1"/>
    <col min="9" max="9" width="17.7109375" style="123" customWidth="1"/>
    <col min="10" max="10" width="19.42578125" style="123" customWidth="1"/>
    <col min="11" max="228" width="9.140625" style="123" customWidth="1"/>
    <col min="229" max="229" width="4.140625" style="123" customWidth="1"/>
    <col min="230" max="230" width="45.7109375" style="123" customWidth="1"/>
    <col min="231" max="231" width="11.85546875" style="123" customWidth="1"/>
    <col min="232" max="232" width="14.140625" style="123" customWidth="1"/>
    <col min="233" max="233" width="17.28515625" style="123" customWidth="1"/>
    <col min="234" max="234" width="12.42578125" style="123" bestFit="1" customWidth="1"/>
    <col min="235" max="235" width="11" style="123" customWidth="1"/>
    <col min="236" max="236" width="13.85546875" style="123" bestFit="1" customWidth="1"/>
    <col min="237" max="237" width="16.5703125" style="123" customWidth="1"/>
    <col min="238" max="238" width="12" style="123" customWidth="1"/>
    <col min="239" max="239" width="17" style="123" customWidth="1"/>
    <col min="240" max="240" width="13.5703125" style="123" customWidth="1"/>
    <col min="241" max="241" width="15.42578125" style="123" customWidth="1"/>
    <col min="242" max="242" width="13.85546875" style="123" bestFit="1" customWidth="1"/>
    <col min="243" max="243" width="16.28515625" style="123" customWidth="1"/>
    <col min="244" max="244" width="11.85546875" style="123" customWidth="1"/>
    <col min="245" max="245" width="16.140625" style="123" customWidth="1"/>
    <col min="246" max="246" width="13.85546875" style="123" customWidth="1"/>
    <col min="247" max="247" width="14.5703125" style="123" customWidth="1"/>
    <col min="248" max="248" width="14.28515625" style="123" customWidth="1"/>
    <col min="249" max="249" width="16.28515625" style="123" customWidth="1"/>
    <col min="250" max="250" width="12" style="123" customWidth="1"/>
    <col min="251" max="251" width="14.42578125" style="123" bestFit="1" customWidth="1"/>
    <col min="252" max="252" width="13.140625" style="123" customWidth="1"/>
    <col min="253" max="254" width="9.140625" style="123" customWidth="1"/>
    <col min="255" max="255" width="11" style="123" customWidth="1"/>
    <col min="256" max="16384" width="12.140625" style="123"/>
  </cols>
  <sheetData>
    <row r="1" spans="1:10" ht="15.75">
      <c r="J1" s="124" t="s">
        <v>0</v>
      </c>
    </row>
    <row r="2" spans="1:10" ht="15.75" customHeight="1">
      <c r="B2" s="125"/>
      <c r="C2" s="125"/>
      <c r="D2" s="125"/>
      <c r="E2" s="125"/>
      <c r="F2" s="125"/>
      <c r="G2" s="125"/>
      <c r="H2" s="125"/>
      <c r="I2" s="126" t="s">
        <v>169</v>
      </c>
      <c r="J2" s="126"/>
    </row>
    <row r="3" spans="1:10">
      <c r="J3" s="127"/>
    </row>
    <row r="4" spans="1:10" ht="18.75">
      <c r="A4" s="128" t="s">
        <v>170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>
      <c r="J5" s="127"/>
    </row>
    <row r="6" spans="1:10" ht="15.75">
      <c r="A6" s="129" t="s">
        <v>171</v>
      </c>
      <c r="B6" s="129"/>
      <c r="C6" s="129"/>
      <c r="D6" s="129"/>
      <c r="E6" s="129"/>
      <c r="F6" s="129"/>
      <c r="G6" s="129"/>
      <c r="H6" s="129"/>
      <c r="I6" s="129"/>
      <c r="J6" s="129"/>
    </row>
    <row r="7" spans="1:10" ht="63">
      <c r="A7" s="130" t="s">
        <v>172</v>
      </c>
      <c r="B7" s="130" t="s">
        <v>173</v>
      </c>
      <c r="C7" s="130" t="s">
        <v>4</v>
      </c>
      <c r="D7" s="130" t="s">
        <v>174</v>
      </c>
      <c r="E7" s="130" t="s">
        <v>175</v>
      </c>
      <c r="F7" s="131" t="s">
        <v>176</v>
      </c>
      <c r="G7" s="131" t="s">
        <v>177</v>
      </c>
      <c r="H7" s="130" t="s">
        <v>178</v>
      </c>
      <c r="I7" s="130" t="s">
        <v>179</v>
      </c>
      <c r="J7" s="131" t="s">
        <v>180</v>
      </c>
    </row>
    <row r="8" spans="1:10" ht="15.75" customHeight="1">
      <c r="A8" s="132" t="s">
        <v>181</v>
      </c>
      <c r="B8" s="133" t="s">
        <v>182</v>
      </c>
      <c r="C8" s="132" t="s">
        <v>42</v>
      </c>
      <c r="D8" s="134"/>
      <c r="E8" s="135"/>
      <c r="F8" s="135"/>
      <c r="G8" s="135"/>
      <c r="H8" s="135"/>
      <c r="I8" s="135"/>
      <c r="J8" s="136">
        <f>J10+J11</f>
        <v>504.25533849999999</v>
      </c>
    </row>
    <row r="9" spans="1:10">
      <c r="A9" s="137"/>
      <c r="B9" s="138"/>
      <c r="C9" s="139"/>
      <c r="D9" s="134"/>
      <c r="E9" s="135"/>
      <c r="F9" s="135"/>
      <c r="G9" s="135"/>
      <c r="H9" s="135"/>
      <c r="I9" s="135"/>
      <c r="J9" s="136"/>
    </row>
    <row r="10" spans="1:10" ht="15.75">
      <c r="A10" s="137"/>
      <c r="B10" s="140" t="s">
        <v>183</v>
      </c>
      <c r="C10" s="141" t="s">
        <v>184</v>
      </c>
      <c r="D10" s="141">
        <v>11</v>
      </c>
      <c r="E10" s="142">
        <f>C38/1000</f>
        <v>45.807170000000006</v>
      </c>
      <c r="F10" s="142">
        <v>100</v>
      </c>
      <c r="G10" s="143"/>
      <c r="H10" s="143"/>
      <c r="I10" s="143"/>
      <c r="J10" s="144">
        <f>E10*D10</f>
        <v>503.87887000000006</v>
      </c>
    </row>
    <row r="11" spans="1:10" ht="31.5">
      <c r="A11" s="139"/>
      <c r="B11" s="140" t="s">
        <v>185</v>
      </c>
      <c r="C11" s="141" t="s">
        <v>184</v>
      </c>
      <c r="D11" s="141">
        <v>0.06</v>
      </c>
      <c r="E11" s="142">
        <f>E10</f>
        <v>45.807170000000006</v>
      </c>
      <c r="F11" s="142">
        <f>D39-F10</f>
        <v>0.13697582714668499</v>
      </c>
      <c r="G11" s="143"/>
      <c r="H11" s="143"/>
      <c r="I11" s="143"/>
      <c r="J11" s="145">
        <f>F11*E11*D11</f>
        <v>0.37646849999992887</v>
      </c>
    </row>
    <row r="12" spans="1:10" ht="15.75">
      <c r="A12" s="146" t="s">
        <v>186</v>
      </c>
      <c r="B12" s="147" t="s">
        <v>187</v>
      </c>
      <c r="C12" s="148" t="s">
        <v>42</v>
      </c>
      <c r="D12" s="149"/>
      <c r="E12" s="150"/>
      <c r="F12" s="150"/>
      <c r="G12" s="150"/>
      <c r="H12" s="150"/>
      <c r="I12" s="150"/>
      <c r="J12" s="145">
        <f>J13</f>
        <v>65</v>
      </c>
    </row>
    <row r="13" spans="1:10" ht="15.75">
      <c r="A13" s="146"/>
      <c r="B13" s="151" t="s">
        <v>188</v>
      </c>
      <c r="C13" s="152" t="s">
        <v>189</v>
      </c>
      <c r="D13" s="150">
        <v>5</v>
      </c>
      <c r="E13" s="153"/>
      <c r="F13" s="153"/>
      <c r="G13" s="143">
        <f>I29</f>
        <v>13</v>
      </c>
      <c r="H13" s="143"/>
      <c r="I13" s="143"/>
      <c r="J13" s="145">
        <f>G13*D13</f>
        <v>65</v>
      </c>
    </row>
    <row r="14" spans="1:10" ht="31.5">
      <c r="A14" s="146">
        <v>3</v>
      </c>
      <c r="B14" s="147" t="s">
        <v>190</v>
      </c>
      <c r="C14" s="148" t="s">
        <v>42</v>
      </c>
      <c r="D14" s="143"/>
      <c r="E14" s="150"/>
      <c r="F14" s="150"/>
      <c r="G14" s="150"/>
      <c r="H14" s="150"/>
      <c r="I14" s="150"/>
      <c r="J14" s="145">
        <f>J15</f>
        <v>25</v>
      </c>
    </row>
    <row r="15" spans="1:10" ht="15.75">
      <c r="A15" s="146"/>
      <c r="B15" s="151" t="s">
        <v>191</v>
      </c>
      <c r="C15" s="143" t="s">
        <v>192</v>
      </c>
      <c r="D15" s="143">
        <v>25</v>
      </c>
      <c r="E15" s="153"/>
      <c r="F15" s="153"/>
      <c r="G15" s="143"/>
      <c r="H15" s="143">
        <v>1</v>
      </c>
      <c r="I15" s="143"/>
      <c r="J15" s="144">
        <f>D15*H15</f>
        <v>25</v>
      </c>
    </row>
    <row r="16" spans="1:10" ht="47.25">
      <c r="A16" s="154" t="s">
        <v>168</v>
      </c>
      <c r="B16" s="155" t="s">
        <v>193</v>
      </c>
      <c r="C16" s="141" t="s">
        <v>194</v>
      </c>
      <c r="D16" s="141">
        <v>0.5</v>
      </c>
      <c r="E16" s="153"/>
      <c r="F16" s="153"/>
      <c r="G16" s="143"/>
      <c r="H16" s="143"/>
      <c r="I16" s="142">
        <f>D50</f>
        <v>62.05</v>
      </c>
      <c r="J16" s="144">
        <f>D16*I16</f>
        <v>31.024999999999999</v>
      </c>
    </row>
    <row r="17" spans="1:10" ht="15.75">
      <c r="A17" s="154" t="s">
        <v>195</v>
      </c>
      <c r="B17" s="156" t="s">
        <v>196</v>
      </c>
      <c r="C17" s="156"/>
      <c r="D17" s="156"/>
      <c r="E17" s="153"/>
      <c r="F17" s="153"/>
      <c r="G17" s="143"/>
      <c r="H17" s="143"/>
      <c r="I17" s="143"/>
      <c r="J17" s="144">
        <f>J16+J14+J12+J8</f>
        <v>625.28033849999997</v>
      </c>
    </row>
    <row r="18" spans="1:10" ht="15.75">
      <c r="A18" s="157" t="s">
        <v>197</v>
      </c>
      <c r="B18" s="157"/>
      <c r="C18" s="157"/>
      <c r="D18" s="157"/>
      <c r="E18" s="157"/>
      <c r="F18" s="157"/>
      <c r="G18" s="157"/>
      <c r="H18" s="157"/>
      <c r="I18" s="157"/>
      <c r="J18" s="158"/>
    </row>
    <row r="19" spans="1:10" ht="15.75">
      <c r="A19" s="159" t="s">
        <v>198</v>
      </c>
      <c r="B19" s="159"/>
      <c r="C19" s="159"/>
      <c r="D19" s="159"/>
      <c r="E19" s="159"/>
      <c r="F19" s="159"/>
      <c r="G19" s="159"/>
      <c r="H19" s="159"/>
      <c r="I19" s="159"/>
      <c r="J19" s="159"/>
    </row>
    <row r="20" spans="1:10" ht="15.75">
      <c r="A20" s="159" t="s">
        <v>199</v>
      </c>
      <c r="B20" s="159"/>
      <c r="C20" s="159"/>
      <c r="D20" s="159"/>
      <c r="E20" s="159"/>
      <c r="F20" s="159"/>
      <c r="G20" s="159"/>
      <c r="H20" s="159"/>
      <c r="I20" s="159"/>
      <c r="J20" s="159"/>
    </row>
    <row r="22" spans="1:10" ht="15.75">
      <c r="A22" s="129" t="s">
        <v>200</v>
      </c>
      <c r="B22" s="129"/>
      <c r="C22" s="129"/>
      <c r="D22" s="129"/>
      <c r="F22" s="160" t="s">
        <v>201</v>
      </c>
      <c r="G22" s="161"/>
      <c r="H22" s="161"/>
      <c r="I22" s="161"/>
      <c r="J22" s="161"/>
    </row>
    <row r="23" spans="1:10" ht="63">
      <c r="A23" s="130" t="s">
        <v>172</v>
      </c>
      <c r="B23" s="162" t="s">
        <v>202</v>
      </c>
      <c r="C23" s="162" t="s">
        <v>203</v>
      </c>
      <c r="D23" s="162" t="s">
        <v>204</v>
      </c>
      <c r="F23" s="163" t="s">
        <v>172</v>
      </c>
      <c r="G23" s="164" t="s">
        <v>205</v>
      </c>
      <c r="H23" s="164"/>
      <c r="I23" s="162" t="s">
        <v>206</v>
      </c>
      <c r="J23" s="162" t="s">
        <v>207</v>
      </c>
    </row>
    <row r="24" spans="1:10" ht="15.75">
      <c r="A24" s="165">
        <v>1</v>
      </c>
      <c r="B24" s="162">
        <v>2</v>
      </c>
      <c r="C24" s="162">
        <v>3</v>
      </c>
      <c r="D24" s="162">
        <v>4</v>
      </c>
      <c r="F24" s="166">
        <v>1</v>
      </c>
      <c r="G24" s="167" t="s">
        <v>208</v>
      </c>
      <c r="H24" s="168"/>
      <c r="I24" s="166">
        <v>13</v>
      </c>
      <c r="J24" s="169" t="s">
        <v>209</v>
      </c>
    </row>
    <row r="25" spans="1:10" ht="15.75">
      <c r="A25" s="165" t="s">
        <v>210</v>
      </c>
      <c r="B25" s="162">
        <v>57</v>
      </c>
      <c r="C25" s="170">
        <f>26+946.165+2073.63</f>
        <v>3045.7950000000001</v>
      </c>
      <c r="D25" s="170">
        <f t="shared" ref="D25:D37" si="0">C25*B25</f>
        <v>173610.315</v>
      </c>
      <c r="F25" s="166">
        <v>2</v>
      </c>
      <c r="G25" s="171" t="s">
        <v>211</v>
      </c>
      <c r="H25" s="171"/>
      <c r="I25" s="166">
        <v>0</v>
      </c>
      <c r="J25" s="169" t="s">
        <v>212</v>
      </c>
    </row>
    <row r="26" spans="1:10" ht="15.75">
      <c r="A26" s="165" t="s">
        <v>213</v>
      </c>
      <c r="B26" s="162">
        <v>76</v>
      </c>
      <c r="C26" s="170">
        <f>3518.925+3352.31</f>
        <v>6871.2350000000006</v>
      </c>
      <c r="D26" s="170">
        <f t="shared" si="0"/>
        <v>522213.86000000004</v>
      </c>
      <c r="F26" s="172">
        <v>3</v>
      </c>
      <c r="G26" s="167" t="s">
        <v>214</v>
      </c>
      <c r="H26" s="167"/>
      <c r="I26" s="173">
        <v>0</v>
      </c>
      <c r="J26" s="164" t="s">
        <v>34</v>
      </c>
    </row>
    <row r="27" spans="1:10" ht="15.75">
      <c r="A27" s="165" t="s">
        <v>215</v>
      </c>
      <c r="B27" s="162">
        <v>89</v>
      </c>
      <c r="C27" s="170">
        <f>3134.12+3288.29</f>
        <v>6422.41</v>
      </c>
      <c r="D27" s="170">
        <f t="shared" si="0"/>
        <v>571594.49</v>
      </c>
      <c r="F27" s="172"/>
      <c r="G27" s="167"/>
      <c r="H27" s="167"/>
      <c r="I27" s="173"/>
      <c r="J27" s="164"/>
    </row>
    <row r="28" spans="1:10" ht="15.75">
      <c r="A28" s="165" t="s">
        <v>216</v>
      </c>
      <c r="B28" s="162">
        <v>108</v>
      </c>
      <c r="C28" s="170">
        <f>4770.05+2528.92</f>
        <v>7298.97</v>
      </c>
      <c r="D28" s="170">
        <f t="shared" si="0"/>
        <v>788288.76</v>
      </c>
      <c r="F28" s="172"/>
      <c r="G28" s="167"/>
      <c r="H28" s="167"/>
      <c r="I28" s="173"/>
      <c r="J28" s="164"/>
    </row>
    <row r="29" spans="1:10" ht="15.75">
      <c r="A29" s="165" t="s">
        <v>217</v>
      </c>
      <c r="B29" s="162">
        <v>114</v>
      </c>
      <c r="C29" s="170">
        <f>997.31+367.05</f>
        <v>1364.36</v>
      </c>
      <c r="D29" s="170">
        <f t="shared" si="0"/>
        <v>155537.03999999998</v>
      </c>
      <c r="F29" s="174"/>
      <c r="G29" s="175" t="s">
        <v>196</v>
      </c>
      <c r="H29" s="175"/>
      <c r="I29" s="166">
        <f>I26+I25+I24</f>
        <v>13</v>
      </c>
      <c r="J29" s="169" t="s">
        <v>34</v>
      </c>
    </row>
    <row r="30" spans="1:10" ht="15.75">
      <c r="A30" s="165" t="s">
        <v>218</v>
      </c>
      <c r="B30" s="162">
        <v>159</v>
      </c>
      <c r="C30" s="170">
        <f>3912.42+2064.14</f>
        <v>5976.5599999999995</v>
      </c>
      <c r="D30" s="170">
        <f t="shared" si="0"/>
        <v>950273.03999999992</v>
      </c>
      <c r="F30" s="176" t="s">
        <v>219</v>
      </c>
      <c r="G30" s="176"/>
      <c r="H30" s="176"/>
      <c r="I30" s="176"/>
      <c r="J30" s="176"/>
    </row>
    <row r="31" spans="1:10" ht="15.75">
      <c r="A31" s="165"/>
      <c r="B31" s="162">
        <v>219</v>
      </c>
      <c r="C31" s="170">
        <f>3849.85+28.5</f>
        <v>3878.35</v>
      </c>
      <c r="D31" s="170">
        <f t="shared" si="0"/>
        <v>849358.65</v>
      </c>
      <c r="F31" s="176"/>
      <c r="G31" s="176"/>
      <c r="H31" s="176"/>
      <c r="I31" s="176"/>
      <c r="J31" s="176"/>
    </row>
    <row r="32" spans="1:10" ht="15.75">
      <c r="A32" s="165" t="s">
        <v>220</v>
      </c>
      <c r="B32" s="162">
        <v>273</v>
      </c>
      <c r="C32" s="170">
        <v>4095.89</v>
      </c>
      <c r="D32" s="170">
        <f t="shared" si="0"/>
        <v>1118177.97</v>
      </c>
      <c r="F32" s="176"/>
      <c r="G32" s="176"/>
      <c r="H32" s="176"/>
      <c r="I32" s="176"/>
      <c r="J32" s="176"/>
    </row>
    <row r="33" spans="1:10" ht="15.75">
      <c r="A33" s="165"/>
      <c r="B33" s="162">
        <v>325</v>
      </c>
      <c r="C33" s="170">
        <v>1330.36</v>
      </c>
      <c r="D33" s="170">
        <f t="shared" si="0"/>
        <v>432366.99999999994</v>
      </c>
      <c r="F33" s="176"/>
      <c r="G33" s="176"/>
      <c r="H33" s="176"/>
      <c r="I33" s="176"/>
      <c r="J33" s="176"/>
    </row>
    <row r="34" spans="1:10" ht="15.75">
      <c r="A34" s="165"/>
      <c r="B34" s="162">
        <v>426</v>
      </c>
      <c r="C34" s="170">
        <v>2973.04</v>
      </c>
      <c r="D34" s="170">
        <f t="shared" si="0"/>
        <v>1266515.04</v>
      </c>
      <c r="F34" s="176"/>
      <c r="G34" s="176"/>
      <c r="H34" s="176"/>
      <c r="I34" s="176"/>
      <c r="J34" s="176"/>
    </row>
    <row r="35" spans="1:10" ht="15.75">
      <c r="A35" s="165"/>
      <c r="B35" s="162">
        <v>530</v>
      </c>
      <c r="C35" s="170">
        <v>1606.9</v>
      </c>
      <c r="D35" s="170">
        <f t="shared" si="0"/>
        <v>851657</v>
      </c>
      <c r="F35" s="176"/>
      <c r="G35" s="176"/>
      <c r="H35" s="176"/>
      <c r="I35" s="176"/>
      <c r="J35" s="176"/>
    </row>
    <row r="36" spans="1:10" ht="15.75">
      <c r="A36" s="165"/>
      <c r="B36" s="162">
        <v>630</v>
      </c>
      <c r="C36" s="170">
        <v>516.5</v>
      </c>
      <c r="D36" s="170">
        <f t="shared" si="0"/>
        <v>325395</v>
      </c>
      <c r="F36" s="176"/>
      <c r="G36" s="176"/>
      <c r="H36" s="176"/>
      <c r="I36" s="176"/>
      <c r="J36" s="176"/>
    </row>
    <row r="37" spans="1:10" ht="15.75">
      <c r="A37" s="165" t="s">
        <v>221</v>
      </c>
      <c r="B37" s="162">
        <v>720</v>
      </c>
      <c r="C37" s="170">
        <v>426.8</v>
      </c>
      <c r="D37" s="170">
        <f t="shared" si="0"/>
        <v>307296</v>
      </c>
      <c r="F37" s="176"/>
      <c r="G37" s="176"/>
      <c r="H37" s="176"/>
      <c r="I37" s="176"/>
      <c r="J37" s="176"/>
    </row>
    <row r="38" spans="1:10" ht="15.75">
      <c r="A38" s="177"/>
      <c r="B38" s="178" t="s">
        <v>196</v>
      </c>
      <c r="C38" s="179">
        <f>C25+C26+C27+C28+C29+C30+C31+C32+C33+C34+C35+C36+C37</f>
        <v>45807.170000000006</v>
      </c>
      <c r="D38" s="179">
        <f>D30+D29+D28+D27+D26+D25+D32+D37</f>
        <v>4586991.4749999996</v>
      </c>
      <c r="F38" s="180"/>
      <c r="G38" s="180"/>
      <c r="H38" s="180"/>
      <c r="I38" s="180"/>
      <c r="J38" s="180"/>
    </row>
    <row r="39" spans="1:10" ht="31.5">
      <c r="A39" s="181"/>
      <c r="B39" s="178" t="s">
        <v>222</v>
      </c>
      <c r="C39" s="182"/>
      <c r="D39" s="182">
        <f>D38/C38</f>
        <v>100.13697582714668</v>
      </c>
      <c r="F39" s="180"/>
      <c r="G39" s="180"/>
      <c r="H39" s="180"/>
      <c r="I39" s="180"/>
      <c r="J39" s="180"/>
    </row>
    <row r="40" spans="1:10">
      <c r="A40" s="183" t="s">
        <v>223</v>
      </c>
      <c r="B40" s="183"/>
      <c r="C40" s="183"/>
      <c r="D40" s="183"/>
      <c r="E40" s="184"/>
    </row>
    <row r="41" spans="1:10">
      <c r="A41" s="185" t="s">
        <v>224</v>
      </c>
      <c r="B41" s="185"/>
      <c r="C41" s="185"/>
      <c r="D41" s="185"/>
      <c r="E41" s="184"/>
    </row>
    <row r="42" spans="1:10">
      <c r="A42" s="185" t="s">
        <v>225</v>
      </c>
      <c r="B42" s="185"/>
      <c r="C42" s="185"/>
      <c r="D42" s="185"/>
      <c r="E42" s="186"/>
    </row>
    <row r="43" spans="1:10">
      <c r="A43" s="187"/>
      <c r="B43" s="187"/>
      <c r="C43" s="187"/>
      <c r="D43" s="187"/>
    </row>
    <row r="44" spans="1:10" ht="15.75">
      <c r="A44" s="129" t="s">
        <v>226</v>
      </c>
      <c r="B44" s="129"/>
      <c r="C44" s="129"/>
      <c r="D44" s="129"/>
      <c r="E44" s="129"/>
    </row>
    <row r="45" spans="1:10" ht="47.25">
      <c r="A45" s="130" t="s">
        <v>172</v>
      </c>
      <c r="B45" s="162" t="s">
        <v>227</v>
      </c>
      <c r="C45" s="162" t="s">
        <v>228</v>
      </c>
      <c r="D45" s="162" t="s">
        <v>38</v>
      </c>
      <c r="E45" s="162" t="s">
        <v>167</v>
      </c>
    </row>
    <row r="46" spans="1:10" ht="15.75">
      <c r="A46" s="165" t="s">
        <v>210</v>
      </c>
      <c r="B46" s="188" t="s">
        <v>229</v>
      </c>
      <c r="C46" s="189">
        <v>35</v>
      </c>
      <c r="D46" s="190">
        <f>[8]ст.ор.Ф!$D$58</f>
        <v>8.9444999999999997</v>
      </c>
      <c r="E46" s="190">
        <f>[8]т.э.Федор!$C$15/1000</f>
        <v>16.053999999999998</v>
      </c>
    </row>
    <row r="47" spans="1:10" ht="15.75">
      <c r="A47" s="165" t="s">
        <v>213</v>
      </c>
      <c r="B47" s="188" t="s">
        <v>230</v>
      </c>
      <c r="C47" s="189">
        <v>234</v>
      </c>
      <c r="D47" s="190">
        <f>'[8]жил.фонд Федор'!$M$268</f>
        <v>25.028469999999999</v>
      </c>
      <c r="E47" s="190">
        <f>[8]т.э.Федор!$C$19/1000</f>
        <v>84.805000000000007</v>
      </c>
    </row>
    <row r="48" spans="1:10" ht="15.75">
      <c r="A48" s="165" t="s">
        <v>215</v>
      </c>
      <c r="B48" s="188" t="s">
        <v>231</v>
      </c>
      <c r="C48" s="189">
        <v>113</v>
      </c>
      <c r="D48" s="190">
        <f>[8]ст.ор.Ф!$D$179</f>
        <v>10.689200000000001</v>
      </c>
      <c r="E48" s="190">
        <f>[8]т.э.Федор!$C$17/1000</f>
        <v>24.146000000000001</v>
      </c>
    </row>
    <row r="49" spans="1:10" ht="15.75">
      <c r="A49" s="165" t="s">
        <v>216</v>
      </c>
      <c r="B49" s="188" t="s">
        <v>232</v>
      </c>
      <c r="C49" s="189" t="s">
        <v>233</v>
      </c>
      <c r="D49" s="190">
        <f>D50-D48-D47-D46</f>
        <v>17.387830000000001</v>
      </c>
      <c r="E49" s="190">
        <f>([8]т.э.Федор!$C$26+[8]т.э.Федор!$C$23+[8]т.э.Федор!$C$21)/1000</f>
        <v>65.304565165722749</v>
      </c>
    </row>
    <row r="50" spans="1:10" ht="15.75">
      <c r="A50" s="165"/>
      <c r="B50" s="188" t="s">
        <v>196</v>
      </c>
      <c r="C50" s="189"/>
      <c r="D50" s="190">
        <v>62.05</v>
      </c>
      <c r="E50" s="190">
        <f>E49+E48+E47+E46</f>
        <v>190.30956516572277</v>
      </c>
    </row>
    <row r="51" spans="1:10" ht="15.75">
      <c r="A51" s="191" t="s">
        <v>234</v>
      </c>
      <c r="B51" s="191"/>
      <c r="C51" s="191"/>
      <c r="D51" s="191"/>
      <c r="E51" s="191"/>
    </row>
    <row r="52" spans="1:10">
      <c r="A52" s="187"/>
      <c r="B52" s="187"/>
      <c r="C52" s="187"/>
      <c r="D52" s="187"/>
    </row>
    <row r="53" spans="1:10" ht="18.75">
      <c r="A53" s="128" t="s">
        <v>235</v>
      </c>
      <c r="B53" s="128"/>
      <c r="C53" s="128"/>
      <c r="D53" s="128"/>
      <c r="E53" s="128"/>
      <c r="F53" s="128"/>
      <c r="G53" s="128"/>
      <c r="H53" s="128"/>
      <c r="I53" s="128"/>
      <c r="J53" s="128"/>
    </row>
    <row r="55" spans="1:10" ht="15.75">
      <c r="A55" s="192" t="s">
        <v>236</v>
      </c>
      <c r="B55" s="193"/>
      <c r="C55" s="193"/>
      <c r="D55" s="193"/>
      <c r="E55" s="193"/>
      <c r="F55" s="193"/>
      <c r="G55" s="194"/>
    </row>
    <row r="56" spans="1:10">
      <c r="A56" s="164" t="s">
        <v>172</v>
      </c>
      <c r="B56" s="164" t="s">
        <v>237</v>
      </c>
      <c r="C56" s="164" t="s">
        <v>238</v>
      </c>
      <c r="D56" s="164" t="s">
        <v>239</v>
      </c>
      <c r="E56" s="164" t="s">
        <v>240</v>
      </c>
      <c r="F56" s="164" t="s">
        <v>241</v>
      </c>
      <c r="G56" s="195"/>
      <c r="I56" s="196"/>
      <c r="J56" s="196"/>
    </row>
    <row r="57" spans="1:10">
      <c r="A57" s="164"/>
      <c r="B57" s="164"/>
      <c r="C57" s="164"/>
      <c r="D57" s="164"/>
      <c r="E57" s="164"/>
      <c r="F57" s="164"/>
      <c r="G57" s="195"/>
      <c r="I57" s="197"/>
      <c r="J57" s="196"/>
    </row>
    <row r="58" spans="1:10" ht="31.5">
      <c r="A58" s="198">
        <v>1</v>
      </c>
      <c r="B58" s="198" t="s">
        <v>242</v>
      </c>
      <c r="C58" s="198" t="s">
        <v>209</v>
      </c>
      <c r="D58" s="188" t="s">
        <v>243</v>
      </c>
      <c r="E58" s="162">
        <v>12.9</v>
      </c>
      <c r="F58" s="199">
        <f>E58+E59+E60+E61+E62+E63</f>
        <v>111.57</v>
      </c>
      <c r="G58" s="200"/>
      <c r="I58" s="197"/>
      <c r="J58" s="196"/>
    </row>
    <row r="59" spans="1:10" ht="31.5">
      <c r="A59" s="201"/>
      <c r="B59" s="201"/>
      <c r="C59" s="201"/>
      <c r="D59" s="188" t="s">
        <v>244</v>
      </c>
      <c r="E59" s="162">
        <v>13.6</v>
      </c>
      <c r="F59" s="202"/>
      <c r="G59" s="203"/>
      <c r="I59" s="197"/>
      <c r="J59" s="196"/>
    </row>
    <row r="60" spans="1:10" ht="31.5">
      <c r="A60" s="201"/>
      <c r="B60" s="201"/>
      <c r="C60" s="201"/>
      <c r="D60" s="188" t="s">
        <v>245</v>
      </c>
      <c r="E60" s="162">
        <v>14.1</v>
      </c>
      <c r="F60" s="202"/>
      <c r="G60" s="203"/>
      <c r="I60" s="197"/>
      <c r="J60" s="196"/>
    </row>
    <row r="61" spans="1:10" ht="31.5">
      <c r="A61" s="201"/>
      <c r="B61" s="201"/>
      <c r="C61" s="201"/>
      <c r="D61" s="188" t="s">
        <v>246</v>
      </c>
      <c r="E61" s="162">
        <v>14.4</v>
      </c>
      <c r="F61" s="202"/>
      <c r="G61" s="203"/>
      <c r="I61" s="197"/>
      <c r="J61" s="196"/>
    </row>
    <row r="62" spans="1:10" ht="31.5">
      <c r="A62" s="201"/>
      <c r="B62" s="201"/>
      <c r="C62" s="201"/>
      <c r="D62" s="188" t="s">
        <v>247</v>
      </c>
      <c r="E62" s="162">
        <v>28.33</v>
      </c>
      <c r="F62" s="202"/>
      <c r="G62" s="203"/>
      <c r="I62" s="197"/>
      <c r="J62" s="196"/>
    </row>
    <row r="63" spans="1:10" ht="31.5">
      <c r="A63" s="201"/>
      <c r="B63" s="201"/>
      <c r="C63" s="201"/>
      <c r="D63" s="188" t="s">
        <v>248</v>
      </c>
      <c r="E63" s="162">
        <v>28.24</v>
      </c>
      <c r="F63" s="204"/>
      <c r="G63" s="205"/>
      <c r="I63" s="206"/>
      <c r="J63" s="196"/>
    </row>
    <row r="64" spans="1:10" ht="31.5">
      <c r="A64" s="207"/>
      <c r="B64" s="207" t="s">
        <v>249</v>
      </c>
      <c r="C64" s="208" t="s">
        <v>250</v>
      </c>
      <c r="D64" s="208" t="s">
        <v>250</v>
      </c>
      <c r="E64" s="208" t="s">
        <v>250</v>
      </c>
      <c r="F64" s="209">
        <f>F58</f>
        <v>111.57</v>
      </c>
      <c r="G64" s="195"/>
      <c r="I64" s="196"/>
      <c r="J64" s="196"/>
    </row>
    <row r="65" spans="1:10" ht="15.75">
      <c r="A65" s="210"/>
      <c r="B65" s="210"/>
      <c r="C65" s="211"/>
      <c r="D65" s="211"/>
      <c r="E65" s="211"/>
      <c r="F65" s="212"/>
      <c r="G65" s="213"/>
      <c r="I65" s="196"/>
      <c r="J65" s="196"/>
    </row>
    <row r="66" spans="1:10" ht="15.75">
      <c r="A66" s="210"/>
      <c r="B66" s="210"/>
      <c r="C66" s="211"/>
      <c r="D66" s="211"/>
      <c r="E66" s="211"/>
      <c r="F66" s="212"/>
      <c r="G66" s="213"/>
      <c r="I66" s="196"/>
      <c r="J66" s="196"/>
    </row>
  </sheetData>
  <mergeCells count="49">
    <mergeCell ref="B58:B63"/>
    <mergeCell ref="C58:C63"/>
    <mergeCell ref="F58:G63"/>
    <mergeCell ref="I60:I62"/>
    <mergeCell ref="F64:G64"/>
    <mergeCell ref="A53:J53"/>
    <mergeCell ref="A55:G55"/>
    <mergeCell ref="A56:A57"/>
    <mergeCell ref="B56:B57"/>
    <mergeCell ref="C56:C57"/>
    <mergeCell ref="D56:D57"/>
    <mergeCell ref="E56:E57"/>
    <mergeCell ref="F56:G57"/>
    <mergeCell ref="I57:I59"/>
    <mergeCell ref="A58:A63"/>
    <mergeCell ref="F30:J37"/>
    <mergeCell ref="A40:D40"/>
    <mergeCell ref="A41:D41"/>
    <mergeCell ref="A42:E42"/>
    <mergeCell ref="A44:E44"/>
    <mergeCell ref="A51:E51"/>
    <mergeCell ref="G24:H24"/>
    <mergeCell ref="F26:F28"/>
    <mergeCell ref="G26:H28"/>
    <mergeCell ref="I26:I28"/>
    <mergeCell ref="J26:J28"/>
    <mergeCell ref="G29:H29"/>
    <mergeCell ref="A18:I18"/>
    <mergeCell ref="A19:J19"/>
    <mergeCell ref="A20:J20"/>
    <mergeCell ref="A22:D22"/>
    <mergeCell ref="F22:J22"/>
    <mergeCell ref="G23:H23"/>
    <mergeCell ref="H8:H9"/>
    <mergeCell ref="I8:I9"/>
    <mergeCell ref="J8:J9"/>
    <mergeCell ref="A12:A13"/>
    <mergeCell ref="A14:A15"/>
    <mergeCell ref="B17:D17"/>
    <mergeCell ref="I2:J2"/>
    <mergeCell ref="A4:J4"/>
    <mergeCell ref="A6:J6"/>
    <mergeCell ref="A8:A11"/>
    <mergeCell ref="B8:B9"/>
    <mergeCell ref="C8:C9"/>
    <mergeCell ref="D8:D9"/>
    <mergeCell ref="E8:E9"/>
    <mergeCell ref="F8:F9"/>
    <mergeCell ref="G8:G9"/>
  </mergeCells>
  <pageMargins left="0.17" right="0.17" top="0.17" bottom="0.2" header="0.17" footer="0.17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AB146"/>
  <sheetViews>
    <sheetView view="pageBreakPreview" zoomScale="60" zoomScaleNormal="80" workbookViewId="0">
      <pane xSplit="3" ySplit="10" topLeftCell="D117" activePane="bottomRight" state="frozen"/>
      <selection pane="topRight" activeCell="D1" sqref="D1"/>
      <selection pane="bottomLeft" activeCell="A10" sqref="A10"/>
      <selection pane="bottomRight" activeCell="K139" sqref="K139:M148"/>
    </sheetView>
  </sheetViews>
  <sheetFormatPr defaultRowHeight="18.75"/>
  <cols>
    <col min="1" max="1" width="9.5703125" style="1" customWidth="1"/>
    <col min="2" max="2" width="29.7109375" style="121" customWidth="1"/>
    <col min="3" max="3" width="10.5703125" style="120" customWidth="1"/>
    <col min="4" max="4" width="16.28515625" style="120" bestFit="1" customWidth="1"/>
    <col min="5" max="5" width="17.5703125" style="120" bestFit="1" customWidth="1"/>
    <col min="6" max="6" width="16.28515625" style="120" bestFit="1" customWidth="1"/>
    <col min="7" max="7" width="14.85546875" style="120" bestFit="1" customWidth="1"/>
    <col min="8" max="8" width="17.5703125" style="120" bestFit="1" customWidth="1"/>
    <col min="9" max="9" width="16.28515625" style="120" bestFit="1" customWidth="1"/>
    <col min="10" max="10" width="14.85546875" style="120" bestFit="1" customWidth="1"/>
    <col min="11" max="14" width="17.5703125" style="1" bestFit="1" customWidth="1"/>
    <col min="15" max="15" width="16.28515625" style="1" bestFit="1" customWidth="1"/>
    <col min="16" max="16" width="14.85546875" style="1" bestFit="1" customWidth="1"/>
    <col min="17" max="17" width="17.5703125" style="1" bestFit="1" customWidth="1"/>
    <col min="18" max="18" width="16.28515625" style="1" bestFit="1" customWidth="1"/>
    <col min="19" max="19" width="14.85546875" style="1" bestFit="1" customWidth="1"/>
    <col min="20" max="20" width="17.5703125" style="1" bestFit="1" customWidth="1"/>
    <col min="21" max="21" width="16.28515625" style="1" bestFit="1" customWidth="1"/>
    <col min="22" max="22" width="14.85546875" style="1" bestFit="1" customWidth="1"/>
    <col min="23" max="23" width="17.5703125" style="1" bestFit="1" customWidth="1"/>
    <col min="24" max="24" width="16.28515625" style="1" bestFit="1" customWidth="1"/>
    <col min="25" max="25" width="14.85546875" style="1" bestFit="1" customWidth="1"/>
    <col min="26" max="16384" width="9.140625" style="1"/>
  </cols>
  <sheetData>
    <row r="1" spans="1:28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 t="s">
        <v>0</v>
      </c>
      <c r="Y1" s="3"/>
    </row>
    <row r="2" spans="1:2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 t="s">
        <v>1</v>
      </c>
      <c r="Y2" s="3"/>
    </row>
    <row r="3" spans="1:28" ht="57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5"/>
      <c r="V3" s="5"/>
      <c r="W3" s="5"/>
      <c r="X3" s="5"/>
      <c r="Y3" s="5"/>
      <c r="Z3" s="5"/>
      <c r="AA3" s="5"/>
      <c r="AB3" s="5"/>
    </row>
    <row r="4" spans="1:28" s="13" customFormat="1" ht="29.1" customHeight="1">
      <c r="A4" s="6"/>
      <c r="B4" s="7" t="s">
        <v>3</v>
      </c>
      <c r="C4" s="7" t="s">
        <v>4</v>
      </c>
      <c r="D4" s="8" t="s">
        <v>5</v>
      </c>
      <c r="E4" s="8"/>
      <c r="F4" s="8"/>
      <c r="G4" s="8"/>
      <c r="H4" s="9" t="s">
        <v>6</v>
      </c>
      <c r="I4" s="10"/>
      <c r="J4" s="11"/>
      <c r="K4" s="9" t="s">
        <v>7</v>
      </c>
      <c r="L4" s="10"/>
      <c r="M4" s="10"/>
      <c r="N4" s="12" t="s">
        <v>8</v>
      </c>
      <c r="O4" s="12"/>
      <c r="P4" s="12"/>
      <c r="Q4" s="12" t="s">
        <v>9</v>
      </c>
      <c r="R4" s="12"/>
      <c r="S4" s="12"/>
      <c r="T4" s="12" t="s">
        <v>10</v>
      </c>
      <c r="U4" s="12"/>
      <c r="V4" s="12"/>
      <c r="W4" s="12" t="s">
        <v>11</v>
      </c>
      <c r="X4" s="12"/>
      <c r="Y4" s="12"/>
    </row>
    <row r="5" spans="1:28" s="13" customFormat="1" ht="12" customHeight="1">
      <c r="A5" s="14"/>
      <c r="B5" s="15"/>
      <c r="C5" s="15"/>
      <c r="D5" s="7" t="s">
        <v>12</v>
      </c>
      <c r="E5" s="16" t="s">
        <v>13</v>
      </c>
      <c r="F5" s="17"/>
      <c r="G5" s="18"/>
      <c r="H5" s="19" t="s">
        <v>14</v>
      </c>
      <c r="I5" s="20"/>
      <c r="J5" s="21"/>
      <c r="K5" s="22" t="s">
        <v>15</v>
      </c>
      <c r="L5" s="23"/>
      <c r="M5" s="23"/>
      <c r="N5" s="22" t="s">
        <v>15</v>
      </c>
      <c r="O5" s="23"/>
      <c r="P5" s="23"/>
      <c r="Q5" s="8" t="s">
        <v>15</v>
      </c>
      <c r="R5" s="8"/>
      <c r="S5" s="8"/>
      <c r="T5" s="8" t="s">
        <v>15</v>
      </c>
      <c r="U5" s="8"/>
      <c r="V5" s="8"/>
      <c r="W5" s="8" t="s">
        <v>15</v>
      </c>
      <c r="X5" s="8"/>
      <c r="Y5" s="8"/>
    </row>
    <row r="6" spans="1:28" s="13" customFormat="1" ht="18" customHeight="1">
      <c r="A6" s="14"/>
      <c r="B6" s="15"/>
      <c r="C6" s="15"/>
      <c r="D6" s="15"/>
      <c r="E6" s="24"/>
      <c r="F6" s="25"/>
      <c r="G6" s="26"/>
      <c r="H6" s="27"/>
      <c r="I6" s="28"/>
      <c r="J6" s="29"/>
      <c r="K6" s="30"/>
      <c r="L6" s="31"/>
      <c r="M6" s="31"/>
      <c r="N6" s="30"/>
      <c r="O6" s="31"/>
      <c r="P6" s="31"/>
      <c r="Q6" s="8"/>
      <c r="R6" s="8"/>
      <c r="S6" s="8"/>
      <c r="T6" s="8"/>
      <c r="U6" s="8"/>
      <c r="V6" s="8"/>
      <c r="W6" s="8"/>
      <c r="X6" s="8"/>
      <c r="Y6" s="8"/>
    </row>
    <row r="7" spans="1:28" s="13" customFormat="1" ht="20.25" customHeight="1">
      <c r="A7" s="14"/>
      <c r="B7" s="15"/>
      <c r="C7" s="15"/>
      <c r="D7" s="15"/>
      <c r="E7" s="32" t="s">
        <v>16</v>
      </c>
      <c r="F7" s="6" t="s">
        <v>17</v>
      </c>
      <c r="G7" s="6" t="s">
        <v>18</v>
      </c>
      <c r="H7" s="32" t="s">
        <v>16</v>
      </c>
      <c r="I7" s="6" t="s">
        <v>17</v>
      </c>
      <c r="J7" s="6" t="s">
        <v>18</v>
      </c>
      <c r="K7" s="32" t="s">
        <v>16</v>
      </c>
      <c r="L7" s="6" t="s">
        <v>17</v>
      </c>
      <c r="M7" s="6" t="s">
        <v>18</v>
      </c>
      <c r="N7" s="32" t="s">
        <v>16</v>
      </c>
      <c r="O7" s="6" t="s">
        <v>17</v>
      </c>
      <c r="P7" s="33" t="s">
        <v>18</v>
      </c>
      <c r="Q7" s="32" t="s">
        <v>16</v>
      </c>
      <c r="R7" s="34" t="s">
        <v>17</v>
      </c>
      <c r="S7" s="34" t="s">
        <v>18</v>
      </c>
      <c r="T7" s="32" t="s">
        <v>16</v>
      </c>
      <c r="U7" s="34" t="s">
        <v>17</v>
      </c>
      <c r="V7" s="34" t="s">
        <v>18</v>
      </c>
      <c r="W7" s="32" t="s">
        <v>16</v>
      </c>
      <c r="X7" s="34" t="s">
        <v>17</v>
      </c>
      <c r="Y7" s="34" t="s">
        <v>18</v>
      </c>
    </row>
    <row r="8" spans="1:28" s="13" customFormat="1">
      <c r="A8" s="35"/>
      <c r="B8" s="36"/>
      <c r="C8" s="36"/>
      <c r="D8" s="36"/>
      <c r="E8" s="32"/>
      <c r="F8" s="35"/>
      <c r="G8" s="35"/>
      <c r="H8" s="32"/>
      <c r="I8" s="35"/>
      <c r="J8" s="35"/>
      <c r="K8" s="32"/>
      <c r="L8" s="35"/>
      <c r="M8" s="35"/>
      <c r="N8" s="32"/>
      <c r="O8" s="35"/>
      <c r="P8" s="37"/>
      <c r="Q8" s="32"/>
      <c r="R8" s="34"/>
      <c r="S8" s="34"/>
      <c r="T8" s="32"/>
      <c r="U8" s="34"/>
      <c r="V8" s="34"/>
      <c r="W8" s="32"/>
      <c r="X8" s="34"/>
      <c r="Y8" s="34"/>
    </row>
    <row r="9" spans="1:28" s="43" customFormat="1" ht="18" customHeight="1">
      <c r="A9" s="38">
        <v>1</v>
      </c>
      <c r="B9" s="39">
        <v>2</v>
      </c>
      <c r="C9" s="38">
        <v>3</v>
      </c>
      <c r="D9" s="38">
        <v>4</v>
      </c>
      <c r="E9" s="40">
        <v>5</v>
      </c>
      <c r="F9" s="41" t="s">
        <v>19</v>
      </c>
      <c r="G9" s="41" t="s">
        <v>20</v>
      </c>
      <c r="H9" s="40">
        <v>6</v>
      </c>
      <c r="I9" s="38" t="s">
        <v>21</v>
      </c>
      <c r="J9" s="38" t="s">
        <v>22</v>
      </c>
      <c r="K9" s="40">
        <v>7</v>
      </c>
      <c r="L9" s="38" t="s">
        <v>23</v>
      </c>
      <c r="M9" s="42" t="s">
        <v>24</v>
      </c>
      <c r="N9" s="40">
        <v>8</v>
      </c>
      <c r="O9" s="38" t="s">
        <v>25</v>
      </c>
      <c r="P9" s="38" t="s">
        <v>26</v>
      </c>
      <c r="Q9" s="40">
        <v>9</v>
      </c>
      <c r="R9" s="38" t="s">
        <v>27</v>
      </c>
      <c r="S9" s="38" t="s">
        <v>28</v>
      </c>
      <c r="T9" s="40">
        <v>9</v>
      </c>
      <c r="U9" s="38" t="s">
        <v>27</v>
      </c>
      <c r="V9" s="38" t="s">
        <v>28</v>
      </c>
      <c r="W9" s="40">
        <v>9</v>
      </c>
      <c r="X9" s="38" t="s">
        <v>27</v>
      </c>
      <c r="Y9" s="38" t="s">
        <v>28</v>
      </c>
    </row>
    <row r="10" spans="1:28">
      <c r="A10" s="44" t="s">
        <v>29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</row>
    <row r="11" spans="1:28" s="50" customFormat="1" ht="31.5">
      <c r="A11" s="45">
        <v>1</v>
      </c>
      <c r="B11" s="46" t="s">
        <v>30</v>
      </c>
      <c r="C11" s="38" t="s">
        <v>31</v>
      </c>
      <c r="D11" s="38">
        <v>105.8</v>
      </c>
      <c r="E11" s="38"/>
      <c r="F11" s="38"/>
      <c r="G11" s="38"/>
      <c r="H11" s="38">
        <v>103.7</v>
      </c>
      <c r="I11" s="38"/>
      <c r="J11" s="38"/>
      <c r="K11" s="47">
        <v>104</v>
      </c>
      <c r="L11" s="47"/>
      <c r="M11" s="47"/>
      <c r="N11" s="48">
        <v>104</v>
      </c>
      <c r="O11" s="47"/>
      <c r="P11" s="49"/>
      <c r="Q11" s="48">
        <v>103.9</v>
      </c>
      <c r="R11" s="47"/>
      <c r="S11" s="47"/>
      <c r="T11" s="48">
        <v>103.8</v>
      </c>
      <c r="U11" s="47"/>
      <c r="V11" s="47"/>
      <c r="W11" s="48">
        <v>103.6</v>
      </c>
      <c r="X11" s="47"/>
      <c r="Y11" s="47"/>
    </row>
    <row r="12" spans="1:28" ht="47.25">
      <c r="A12" s="45">
        <v>2</v>
      </c>
      <c r="B12" s="46" t="s">
        <v>32</v>
      </c>
      <c r="C12" s="38" t="s">
        <v>31</v>
      </c>
      <c r="D12" s="38"/>
      <c r="E12" s="38"/>
      <c r="F12" s="38"/>
      <c r="G12" s="38"/>
      <c r="H12" s="38">
        <v>1</v>
      </c>
      <c r="I12" s="38"/>
      <c r="J12" s="38"/>
      <c r="K12" s="51">
        <v>1</v>
      </c>
      <c r="L12" s="51"/>
      <c r="M12" s="51"/>
      <c r="N12" s="52">
        <v>0.01</v>
      </c>
      <c r="O12" s="52"/>
      <c r="P12" s="53"/>
      <c r="Q12" s="52">
        <v>0.01</v>
      </c>
      <c r="R12" s="52"/>
      <c r="S12" s="52"/>
      <c r="T12" s="52">
        <v>0.01</v>
      </c>
      <c r="U12" s="52"/>
      <c r="V12" s="52"/>
      <c r="W12" s="52">
        <v>0.01</v>
      </c>
      <c r="X12" s="52"/>
      <c r="Y12" s="52"/>
    </row>
    <row r="13" spans="1:28" ht="31.5">
      <c r="A13" s="45">
        <v>3</v>
      </c>
      <c r="B13" s="46" t="s">
        <v>33</v>
      </c>
      <c r="C13" s="38" t="s">
        <v>34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5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</row>
    <row r="14" spans="1:28" s="13" customFormat="1">
      <c r="A14" s="56" t="s">
        <v>35</v>
      </c>
      <c r="B14" s="46" t="s">
        <v>36</v>
      </c>
      <c r="C14" s="40"/>
      <c r="D14" s="40"/>
      <c r="E14" s="40"/>
      <c r="F14" s="40"/>
      <c r="G14" s="40"/>
      <c r="H14" s="40"/>
      <c r="I14" s="40"/>
      <c r="J14" s="40"/>
      <c r="K14" s="57"/>
      <c r="L14" s="54"/>
      <c r="M14" s="54"/>
      <c r="N14" s="58"/>
      <c r="O14" s="54"/>
      <c r="P14" s="59"/>
      <c r="Q14" s="58"/>
      <c r="R14" s="54"/>
      <c r="S14" s="57"/>
      <c r="T14" s="58"/>
      <c r="U14" s="54"/>
      <c r="V14" s="57"/>
      <c r="W14" s="58"/>
      <c r="X14" s="54"/>
      <c r="Y14" s="57"/>
    </row>
    <row r="15" spans="1:28" s="50" customFormat="1" ht="34.5" customHeight="1">
      <c r="A15" s="60"/>
      <c r="B15" s="61" t="s">
        <v>37</v>
      </c>
      <c r="C15" s="38" t="s">
        <v>38</v>
      </c>
      <c r="D15" s="38"/>
      <c r="E15" s="38"/>
      <c r="F15" s="38"/>
      <c r="G15" s="38"/>
      <c r="H15" s="38"/>
      <c r="I15" s="38"/>
      <c r="J15" s="38"/>
      <c r="K15" s="54"/>
      <c r="L15" s="54"/>
      <c r="M15" s="54"/>
      <c r="N15" s="62"/>
      <c r="O15" s="54"/>
      <c r="P15" s="55"/>
      <c r="Q15" s="62"/>
      <c r="R15" s="54"/>
      <c r="S15" s="54"/>
      <c r="T15" s="62"/>
      <c r="U15" s="54"/>
      <c r="V15" s="54"/>
      <c r="W15" s="62"/>
      <c r="X15" s="54"/>
      <c r="Y15" s="54"/>
    </row>
    <row r="16" spans="1:28" s="13" customFormat="1">
      <c r="A16" s="56" t="s">
        <v>39</v>
      </c>
      <c r="B16" s="46" t="s">
        <v>40</v>
      </c>
      <c r="C16" s="40"/>
      <c r="D16" s="40"/>
      <c r="E16" s="40"/>
      <c r="F16" s="40"/>
      <c r="G16" s="40"/>
      <c r="H16" s="40"/>
      <c r="I16" s="40"/>
      <c r="J16" s="40"/>
      <c r="K16" s="57"/>
      <c r="L16" s="57"/>
      <c r="M16" s="57"/>
      <c r="N16" s="63"/>
      <c r="O16" s="57"/>
      <c r="P16" s="55"/>
      <c r="Q16" s="63"/>
      <c r="R16" s="57"/>
      <c r="S16" s="54"/>
      <c r="T16" s="63"/>
      <c r="U16" s="57"/>
      <c r="V16" s="54"/>
      <c r="W16" s="63"/>
      <c r="X16" s="57"/>
      <c r="Y16" s="54"/>
    </row>
    <row r="17" spans="1:25" ht="31.5">
      <c r="A17" s="45"/>
      <c r="B17" s="61" t="s">
        <v>41</v>
      </c>
      <c r="C17" s="38" t="s">
        <v>42</v>
      </c>
      <c r="D17" s="38"/>
      <c r="E17" s="38"/>
      <c r="F17" s="38"/>
      <c r="G17" s="38"/>
      <c r="H17" s="38"/>
      <c r="I17" s="38"/>
      <c r="J17" s="38"/>
      <c r="K17" s="57"/>
      <c r="L17" s="57"/>
      <c r="M17" s="57"/>
      <c r="N17" s="63"/>
      <c r="O17" s="63"/>
      <c r="P17" s="59"/>
      <c r="Q17" s="63"/>
      <c r="R17" s="63"/>
      <c r="S17" s="57"/>
      <c r="T17" s="63"/>
      <c r="U17" s="63"/>
      <c r="V17" s="57"/>
      <c r="W17" s="63"/>
      <c r="X17" s="63"/>
      <c r="Y17" s="57"/>
    </row>
    <row r="18" spans="1:25" ht="47.25">
      <c r="A18" s="45">
        <v>4</v>
      </c>
      <c r="B18" s="46" t="s">
        <v>43</v>
      </c>
      <c r="C18" s="38" t="s">
        <v>34</v>
      </c>
      <c r="D18" s="38">
        <v>0.75</v>
      </c>
      <c r="E18" s="38">
        <v>0.75</v>
      </c>
      <c r="F18" s="38">
        <v>0.75</v>
      </c>
      <c r="G18" s="38">
        <v>0.75</v>
      </c>
      <c r="H18" s="38">
        <v>0.75</v>
      </c>
      <c r="I18" s="38">
        <v>0.75</v>
      </c>
      <c r="J18" s="38">
        <v>0.75</v>
      </c>
      <c r="K18" s="38">
        <v>0.75</v>
      </c>
      <c r="L18" s="38">
        <v>0.75</v>
      </c>
      <c r="M18" s="38">
        <v>0.75</v>
      </c>
      <c r="N18" s="38">
        <v>0.75</v>
      </c>
      <c r="O18" s="38">
        <v>0.75</v>
      </c>
      <c r="P18" s="38">
        <v>0.75</v>
      </c>
      <c r="Q18" s="38">
        <v>0.75</v>
      </c>
      <c r="R18" s="38">
        <v>0.75</v>
      </c>
      <c r="S18" s="38">
        <v>0.75</v>
      </c>
      <c r="T18" s="38">
        <v>0.75</v>
      </c>
      <c r="U18" s="38">
        <v>0.75</v>
      </c>
      <c r="V18" s="38">
        <v>0.75</v>
      </c>
      <c r="W18" s="38">
        <v>0.75</v>
      </c>
      <c r="X18" s="38">
        <v>0.75</v>
      </c>
      <c r="Y18" s="38">
        <v>0.75</v>
      </c>
    </row>
    <row r="19" spans="1:25" ht="31.5">
      <c r="A19" s="45">
        <v>5</v>
      </c>
      <c r="B19" s="46" t="s">
        <v>44</v>
      </c>
      <c r="C19" s="38" t="s">
        <v>31</v>
      </c>
      <c r="D19" s="38">
        <v>104.4</v>
      </c>
      <c r="E19" s="38"/>
      <c r="F19" s="38"/>
      <c r="G19" s="38"/>
      <c r="H19" s="38">
        <v>1.0269999999999999</v>
      </c>
      <c r="I19" s="38"/>
      <c r="J19" s="38"/>
      <c r="K19" s="54">
        <v>104</v>
      </c>
      <c r="L19" s="54"/>
      <c r="M19" s="54"/>
      <c r="N19" s="64">
        <v>1.04</v>
      </c>
      <c r="O19" s="54"/>
      <c r="P19" s="55"/>
      <c r="Q19" s="65">
        <v>1.0389999999999999</v>
      </c>
      <c r="R19" s="54"/>
      <c r="S19" s="54"/>
      <c r="T19" s="65">
        <v>1.038</v>
      </c>
      <c r="U19" s="54"/>
      <c r="V19" s="54"/>
      <c r="W19" s="65">
        <v>1.036</v>
      </c>
      <c r="X19" s="54"/>
      <c r="Y19" s="54"/>
    </row>
    <row r="20" spans="1:25">
      <c r="A20" s="44" t="s">
        <v>45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spans="1:25" s="73" customFormat="1">
      <c r="A21" s="66">
        <v>1</v>
      </c>
      <c r="B21" s="67" t="s">
        <v>46</v>
      </c>
      <c r="C21" s="68" t="s">
        <v>47</v>
      </c>
      <c r="D21" s="68">
        <f>D22+D47+D59+D74+D82+D106+D107+D108+D109</f>
        <v>77219.16</v>
      </c>
      <c r="E21" s="69">
        <f>F21+G21</f>
        <v>65651.584340000001</v>
      </c>
      <c r="F21" s="69">
        <f>F22+F47+F59+F74+F82+F106+F107+F108+F109</f>
        <v>41800.845990000002</v>
      </c>
      <c r="G21" s="69">
        <f>G22+G47+G59+G74+G82+G106+G107+G108+G109</f>
        <v>23850.738350000003</v>
      </c>
      <c r="H21" s="69">
        <f>I21+J21</f>
        <v>73770.86127898749</v>
      </c>
      <c r="I21" s="70">
        <f>I22+I47+I59+I74+I82+I106+I107+I108+I109</f>
        <v>55415.841254811654</v>
      </c>
      <c r="J21" s="70">
        <f>J22+J47+J59+J74+J82+J106+J107+J108+J109</f>
        <v>18355.020024175839</v>
      </c>
      <c r="K21" s="69">
        <f>K22+K47+K59+K74+K82+K106+K107+K108+K109</f>
        <v>126971.64814445001</v>
      </c>
      <c r="L21" s="69">
        <f>L22+L47+L59+L74+L82+L106+L107+L108+L109</f>
        <v>79498.019280674125</v>
      </c>
      <c r="M21" s="69">
        <f>M22+M47+M59+M74+M82+M106+M107+M108+M109</f>
        <v>47473.628863775884</v>
      </c>
      <c r="N21" s="71">
        <f>O21+P21</f>
        <v>132050.51407022803</v>
      </c>
      <c r="O21" s="71">
        <f>L21*N19</f>
        <v>82677.940051901096</v>
      </c>
      <c r="P21" s="72">
        <f>M21*N19</f>
        <v>49372.574018326923</v>
      </c>
      <c r="Q21" s="71">
        <f>R21+S21</f>
        <v>137200.48411896691</v>
      </c>
      <c r="R21" s="71">
        <f>O21*Q19</f>
        <v>85902.379713925227</v>
      </c>
      <c r="S21" s="71">
        <f>P21*Q19</f>
        <v>51298.104405041668</v>
      </c>
      <c r="T21" s="71">
        <f>U21+V21</f>
        <v>142414.10251548764</v>
      </c>
      <c r="U21" s="71">
        <f>R21*T19</f>
        <v>89166.670143054391</v>
      </c>
      <c r="V21" s="71">
        <f>S21*T19</f>
        <v>53247.43237243325</v>
      </c>
      <c r="W21" s="71">
        <f>X21+Y21</f>
        <v>147541.0102060452</v>
      </c>
      <c r="X21" s="71">
        <f>U21*W19</f>
        <v>92376.670268204354</v>
      </c>
      <c r="Y21" s="71">
        <f>V21*W19</f>
        <v>55164.33993784085</v>
      </c>
    </row>
    <row r="22" spans="1:25" ht="31.5">
      <c r="A22" s="74" t="s">
        <v>48</v>
      </c>
      <c r="B22" s="75" t="s">
        <v>49</v>
      </c>
      <c r="C22" s="45" t="s">
        <v>47</v>
      </c>
      <c r="D22" s="45">
        <v>2113.35</v>
      </c>
      <c r="E22" s="76">
        <f>F22+G22</f>
        <v>2149.0102500000003</v>
      </c>
      <c r="F22" s="77">
        <f>SUM(F23:F45)</f>
        <v>1650.9153100000003</v>
      </c>
      <c r="G22" s="77">
        <f>SUM(G23:G45)</f>
        <v>498.09494000000001</v>
      </c>
      <c r="H22" s="77">
        <f t="shared" ref="H22:J22" si="0">SUM(H23:H45)</f>
        <v>3376.7612959274993</v>
      </c>
      <c r="I22" s="78">
        <f t="shared" si="0"/>
        <v>2594.0997357560996</v>
      </c>
      <c r="J22" s="78">
        <f t="shared" si="0"/>
        <v>782.66156017139986</v>
      </c>
      <c r="K22" s="77">
        <f>SUM(K23:K46)</f>
        <v>14252.057387433326</v>
      </c>
      <c r="L22" s="77">
        <f>SUM(L23:L46)</f>
        <v>10416.75678626666</v>
      </c>
      <c r="M22" s="77">
        <f>SUM(M23:M46)</f>
        <v>3835.3006011666662</v>
      </c>
      <c r="N22" s="79" t="s">
        <v>50</v>
      </c>
      <c r="O22" s="79" t="s">
        <v>50</v>
      </c>
      <c r="P22" s="80" t="s">
        <v>50</v>
      </c>
      <c r="Q22" s="79" t="s">
        <v>50</v>
      </c>
      <c r="R22" s="79" t="s">
        <v>50</v>
      </c>
      <c r="S22" s="79" t="s">
        <v>50</v>
      </c>
      <c r="T22" s="79" t="s">
        <v>50</v>
      </c>
      <c r="U22" s="79" t="s">
        <v>50</v>
      </c>
      <c r="V22" s="79" t="s">
        <v>50</v>
      </c>
      <c r="W22" s="79" t="s">
        <v>50</v>
      </c>
      <c r="X22" s="79" t="s">
        <v>50</v>
      </c>
      <c r="Y22" s="79" t="s">
        <v>50</v>
      </c>
    </row>
    <row r="23" spans="1:25" s="50" customFormat="1" ht="30" hidden="1">
      <c r="A23" s="81"/>
      <c r="B23" s="82" t="s">
        <v>51</v>
      </c>
      <c r="C23" s="60"/>
      <c r="D23" s="60"/>
      <c r="E23" s="83">
        <f t="shared" ref="E23:E45" si="1">F23+G23</f>
        <v>55.529389999999999</v>
      </c>
      <c r="F23" s="84">
        <f>'[1]смета полн'!W67+'[1]смета полн'!H67</f>
        <v>24.902940000000001</v>
      </c>
      <c r="G23" s="60">
        <f>'[1]смета полн'!Q67+'[1]смета полн'!T67</f>
        <v>30.626449999999998</v>
      </c>
      <c r="H23" s="84">
        <f>I23+J23</f>
        <v>87.253885800899994</v>
      </c>
      <c r="I23" s="84">
        <v>39.130238651399999</v>
      </c>
      <c r="J23" s="84">
        <v>48.123647149499995</v>
      </c>
      <c r="K23" s="85">
        <f>L23+M23</f>
        <v>78.165150000000011</v>
      </c>
      <c r="L23" s="85">
        <f>'[2]Смета 2019'!$D$86</f>
        <v>29.037139999999997</v>
      </c>
      <c r="M23" s="85">
        <f>'[2]Смета 2019'!$F$86</f>
        <v>49.12801000000001</v>
      </c>
      <c r="N23" s="86"/>
      <c r="O23" s="86"/>
      <c r="P23" s="87"/>
      <c r="Q23" s="86"/>
      <c r="R23" s="86"/>
      <c r="S23" s="86"/>
      <c r="T23" s="86"/>
      <c r="U23" s="86"/>
      <c r="V23" s="86"/>
      <c r="W23" s="86"/>
      <c r="X23" s="86"/>
      <c r="Y23" s="86"/>
    </row>
    <row r="24" spans="1:25" s="50" customFormat="1" hidden="1">
      <c r="A24" s="81"/>
      <c r="B24" s="82" t="s">
        <v>52</v>
      </c>
      <c r="C24" s="60"/>
      <c r="D24" s="60"/>
      <c r="E24" s="83">
        <f t="shared" si="1"/>
        <v>111.13525999999999</v>
      </c>
      <c r="F24" s="84">
        <f>'[1]смета полн'!W68+'[1]смета полн'!H68</f>
        <v>86.181179999999998</v>
      </c>
      <c r="G24" s="60">
        <f>'[1]смета полн'!Q68+'[1]смета полн'!T68</f>
        <v>24.954079999999998</v>
      </c>
      <c r="H24" s="84">
        <f t="shared" ref="H24:H104" si="2">I24+J24</f>
        <v>174.62794539059996</v>
      </c>
      <c r="I24" s="84">
        <v>135.41734994579997</v>
      </c>
      <c r="J24" s="84">
        <v>39.210595444799992</v>
      </c>
      <c r="K24" s="85">
        <f t="shared" ref="K24:K44" si="3">L24+M24</f>
        <v>388.71685333333335</v>
      </c>
      <c r="L24" s="85">
        <f>'[2]Смета 2019'!$D$102+27.17</f>
        <v>237.9264766666667</v>
      </c>
      <c r="M24" s="85">
        <f>'[2]Смета 2019'!$F$102+8.035</f>
        <v>150.79037666666665</v>
      </c>
      <c r="N24" s="86"/>
      <c r="O24" s="86"/>
      <c r="P24" s="87"/>
      <c r="Q24" s="86"/>
      <c r="R24" s="86"/>
      <c r="S24" s="86"/>
      <c r="T24" s="86"/>
      <c r="U24" s="86"/>
      <c r="V24" s="86"/>
      <c r="W24" s="86"/>
      <c r="X24" s="86"/>
      <c r="Y24" s="86"/>
    </row>
    <row r="25" spans="1:25" s="50" customFormat="1" ht="45" hidden="1">
      <c r="A25" s="81"/>
      <c r="B25" s="82" t="s">
        <v>53</v>
      </c>
      <c r="C25" s="60"/>
      <c r="D25" s="60"/>
      <c r="E25" s="83">
        <f t="shared" si="1"/>
        <v>0</v>
      </c>
      <c r="F25" s="84">
        <f>'[1]смета полн'!W69+'[1]смета полн'!H69</f>
        <v>0</v>
      </c>
      <c r="G25" s="60">
        <f>'[1]смета полн'!Q69+'[1]смета полн'!T69</f>
        <v>0</v>
      </c>
      <c r="H25" s="84">
        <f t="shared" si="2"/>
        <v>0</v>
      </c>
      <c r="I25" s="84">
        <v>0</v>
      </c>
      <c r="J25" s="84">
        <v>0</v>
      </c>
      <c r="K25" s="85">
        <f t="shared" si="3"/>
        <v>213.56804</v>
      </c>
      <c r="L25" s="85">
        <f>'[2]Смета 2019'!$D$88</f>
        <v>98.239519999999999</v>
      </c>
      <c r="M25" s="85">
        <f>'[2]Смета 2019'!$F$88</f>
        <v>115.32852000000001</v>
      </c>
      <c r="N25" s="86"/>
      <c r="O25" s="86"/>
      <c r="P25" s="87"/>
      <c r="Q25" s="86"/>
      <c r="R25" s="86"/>
      <c r="S25" s="86"/>
      <c r="T25" s="86"/>
      <c r="U25" s="86"/>
      <c r="V25" s="86"/>
      <c r="W25" s="86"/>
      <c r="X25" s="86"/>
      <c r="Y25" s="86"/>
    </row>
    <row r="26" spans="1:25" s="50" customFormat="1" hidden="1">
      <c r="A26" s="81"/>
      <c r="B26" s="82" t="s">
        <v>54</v>
      </c>
      <c r="C26" s="60"/>
      <c r="D26" s="60"/>
      <c r="E26" s="83">
        <f t="shared" si="1"/>
        <v>50.284559999999999</v>
      </c>
      <c r="F26" s="84">
        <f>'[1]смета полн'!W70+'[1]смета полн'!H70</f>
        <v>50.284559999999999</v>
      </c>
      <c r="G26" s="60">
        <f>'[1]смета полн'!Q70+'[1]смета полн'!T70</f>
        <v>0</v>
      </c>
      <c r="H26" s="84">
        <f t="shared" si="2"/>
        <v>79.012631973599994</v>
      </c>
      <c r="I26" s="84">
        <v>79.012631973599994</v>
      </c>
      <c r="J26" s="84">
        <v>0</v>
      </c>
      <c r="K26" s="85">
        <f t="shared" si="3"/>
        <v>148.38038</v>
      </c>
      <c r="L26" s="85">
        <f>'[2]Смета 2019'!$D$101</f>
        <v>85.084190000000007</v>
      </c>
      <c r="M26" s="85">
        <f>'[2]Смета 2019'!$F$101</f>
        <v>63.296190000000003</v>
      </c>
      <c r="N26" s="86"/>
      <c r="O26" s="86"/>
      <c r="P26" s="87"/>
      <c r="Q26" s="86"/>
      <c r="R26" s="86"/>
      <c r="S26" s="86"/>
      <c r="T26" s="86"/>
      <c r="U26" s="86"/>
      <c r="V26" s="86"/>
      <c r="W26" s="86"/>
      <c r="X26" s="86"/>
      <c r="Y26" s="86"/>
    </row>
    <row r="27" spans="1:25" s="50" customFormat="1" ht="30" hidden="1">
      <c r="A27" s="81"/>
      <c r="B27" s="82" t="s">
        <v>55</v>
      </c>
      <c r="C27" s="60"/>
      <c r="D27" s="60"/>
      <c r="E27" s="83">
        <f t="shared" si="1"/>
        <v>0.19932</v>
      </c>
      <c r="F27" s="84">
        <f>'[1]смета полн'!W71+'[1]смета полн'!H71</f>
        <v>0.19932</v>
      </c>
      <c r="G27" s="60">
        <f>'[1]смета полн'!Q71+'[1]смета полн'!T71</f>
        <v>0</v>
      </c>
      <c r="H27" s="84">
        <f t="shared" si="2"/>
        <v>0.3131935092</v>
      </c>
      <c r="I27" s="84">
        <v>0.3131935092</v>
      </c>
      <c r="J27" s="84">
        <v>0</v>
      </c>
      <c r="K27" s="85">
        <f t="shared" si="3"/>
        <v>0</v>
      </c>
      <c r="L27" s="85"/>
      <c r="M27" s="85"/>
      <c r="N27" s="86"/>
      <c r="O27" s="86"/>
      <c r="P27" s="87"/>
      <c r="Q27" s="86"/>
      <c r="R27" s="86"/>
      <c r="S27" s="86"/>
      <c r="T27" s="86"/>
      <c r="U27" s="86"/>
      <c r="V27" s="86"/>
      <c r="W27" s="86"/>
      <c r="X27" s="86"/>
      <c r="Y27" s="86"/>
    </row>
    <row r="28" spans="1:25" s="50" customFormat="1" hidden="1">
      <c r="A28" s="81"/>
      <c r="B28" s="88" t="s">
        <v>56</v>
      </c>
      <c r="C28" s="60"/>
      <c r="D28" s="60"/>
      <c r="E28" s="83">
        <f t="shared" si="1"/>
        <v>0</v>
      </c>
      <c r="F28" s="84">
        <f>'[1]смета полн'!W72+'[1]смета полн'!H72</f>
        <v>0</v>
      </c>
      <c r="G28" s="60">
        <f>'[1]смета полн'!Q72+'[1]смета полн'!T72</f>
        <v>0</v>
      </c>
      <c r="H28" s="60">
        <f t="shared" si="2"/>
        <v>0</v>
      </c>
      <c r="I28" s="84">
        <v>0</v>
      </c>
      <c r="J28" s="84">
        <v>0</v>
      </c>
      <c r="K28" s="85">
        <f t="shared" si="3"/>
        <v>180.26664000000002</v>
      </c>
      <c r="L28" s="85">
        <f>'[2]Смета 2019'!$D$85</f>
        <v>180.26664000000002</v>
      </c>
      <c r="M28" s="85"/>
      <c r="N28" s="86"/>
      <c r="O28" s="86"/>
      <c r="P28" s="87"/>
      <c r="Q28" s="86"/>
      <c r="R28" s="86"/>
      <c r="S28" s="86"/>
      <c r="T28" s="86"/>
      <c r="U28" s="86"/>
      <c r="V28" s="86"/>
      <c r="W28" s="86"/>
      <c r="X28" s="86"/>
      <c r="Y28" s="86"/>
    </row>
    <row r="29" spans="1:25" s="50" customFormat="1" ht="45.75" hidden="1">
      <c r="A29" s="81"/>
      <c r="B29" s="88" t="s">
        <v>57</v>
      </c>
      <c r="C29" s="60"/>
      <c r="D29" s="60"/>
      <c r="E29" s="83">
        <f t="shared" si="1"/>
        <v>1431.7723499999997</v>
      </c>
      <c r="F29" s="84">
        <f>'[1]смета полн'!W73+'[1]смета полн'!H73</f>
        <v>1030.7630199999999</v>
      </c>
      <c r="G29" s="60">
        <f>'[1]смета полн'!Q73+'[1]смета полн'!T73</f>
        <v>401.00932999999998</v>
      </c>
      <c r="H29" s="84">
        <f t="shared" si="2"/>
        <v>2249.7582112784994</v>
      </c>
      <c r="I29" s="84">
        <v>1619.6482409561995</v>
      </c>
      <c r="J29" s="84">
        <v>630.10997032229989</v>
      </c>
      <c r="K29" s="85">
        <f t="shared" si="3"/>
        <v>10761.105964399994</v>
      </c>
      <c r="L29" s="85">
        <f>'[2]Смета 2019'!$D$89</f>
        <v>8561.0966799999951</v>
      </c>
      <c r="M29" s="85">
        <f>'[2]Смета 2019'!$F$89</f>
        <v>2200.0092844000001</v>
      </c>
      <c r="N29" s="86"/>
      <c r="O29" s="86"/>
      <c r="P29" s="87"/>
      <c r="Q29" s="86"/>
      <c r="R29" s="86"/>
      <c r="S29" s="86"/>
      <c r="T29" s="86"/>
      <c r="U29" s="86"/>
      <c r="V29" s="86"/>
      <c r="W29" s="86"/>
      <c r="X29" s="86"/>
      <c r="Y29" s="86"/>
    </row>
    <row r="30" spans="1:25" s="50" customFormat="1" ht="30.75" hidden="1">
      <c r="A30" s="81"/>
      <c r="B30" s="88" t="s">
        <v>58</v>
      </c>
      <c r="C30" s="60"/>
      <c r="D30" s="60"/>
      <c r="E30" s="83">
        <f t="shared" si="1"/>
        <v>352.58665000000002</v>
      </c>
      <c r="F30" s="84">
        <f>'[1]смета полн'!W74+'[1]смета полн'!H74</f>
        <v>345.09714000000002</v>
      </c>
      <c r="G30" s="60">
        <f>'[1]смета полн'!Q74+'[1]смета полн'!T74</f>
        <v>7.4895100000000001</v>
      </c>
      <c r="H30" s="84">
        <f t="shared" si="2"/>
        <v>554.02292901149997</v>
      </c>
      <c r="I30" s="84">
        <v>542.25458705339997</v>
      </c>
      <c r="J30" s="84">
        <v>11.768341958100001</v>
      </c>
      <c r="K30" s="85">
        <f t="shared" si="3"/>
        <v>1106.4326884</v>
      </c>
      <c r="L30" s="85">
        <f>'[2]Смета 2019'!$D$84</f>
        <v>393.68036039999998</v>
      </c>
      <c r="M30" s="85">
        <f>'[2]Смета 2019'!$E$84+'[2]Смета 2019'!$F$84</f>
        <v>712.75232800000003</v>
      </c>
      <c r="N30" s="86"/>
      <c r="O30" s="86"/>
      <c r="P30" s="87"/>
      <c r="Q30" s="86"/>
      <c r="R30" s="86"/>
      <c r="S30" s="86"/>
      <c r="T30" s="86"/>
      <c r="U30" s="86"/>
      <c r="V30" s="86"/>
      <c r="W30" s="86"/>
      <c r="X30" s="86"/>
      <c r="Y30" s="86"/>
    </row>
    <row r="31" spans="1:25" s="50" customFormat="1" ht="45" hidden="1">
      <c r="A31" s="81"/>
      <c r="B31" s="82" t="s">
        <v>59</v>
      </c>
      <c r="C31" s="60"/>
      <c r="D31" s="60"/>
      <c r="E31" s="83">
        <f t="shared" si="1"/>
        <v>2.7254200000000002</v>
      </c>
      <c r="F31" s="84">
        <f>'[1]смета полн'!W75+'[1]смета полн'!H75</f>
        <v>2.7254200000000002</v>
      </c>
      <c r="G31" s="60">
        <f>'[1]смета полн'!Q75+'[1]смета полн'!T75</f>
        <v>0</v>
      </c>
      <c r="H31" s="84">
        <f t="shared" si="2"/>
        <v>4.2824797002000006</v>
      </c>
      <c r="I31" s="84">
        <v>4.2824797002000006</v>
      </c>
      <c r="J31" s="84">
        <v>0</v>
      </c>
      <c r="K31" s="85">
        <f t="shared" si="3"/>
        <v>67.313379999999995</v>
      </c>
      <c r="L31" s="85">
        <f>'[2]Смета 2019'!$D$90</f>
        <v>43.044379999999997</v>
      </c>
      <c r="M31" s="85">
        <f>'[2]Смета 2019'!$F$90</f>
        <v>24.268999999999998</v>
      </c>
      <c r="N31" s="86"/>
      <c r="O31" s="86"/>
      <c r="P31" s="87"/>
      <c r="Q31" s="86"/>
      <c r="R31" s="86"/>
      <c r="S31" s="86"/>
      <c r="T31" s="86"/>
      <c r="U31" s="86"/>
      <c r="V31" s="86"/>
      <c r="W31" s="86"/>
      <c r="X31" s="86"/>
      <c r="Y31" s="86"/>
    </row>
    <row r="32" spans="1:25" s="50" customFormat="1" ht="45.75" hidden="1">
      <c r="A32" s="81"/>
      <c r="B32" s="89" t="s">
        <v>60</v>
      </c>
      <c r="C32" s="60"/>
      <c r="D32" s="60"/>
      <c r="E32" s="83">
        <f t="shared" si="1"/>
        <v>104.29965999999999</v>
      </c>
      <c r="F32" s="84">
        <f>'[1]смета полн'!W76+'[1]смета полн'!H76</f>
        <v>74.532569999999993</v>
      </c>
      <c r="G32" s="60">
        <f>'[1]смета полн'!Q76+'[1]смета полн'!T76</f>
        <v>29.76709</v>
      </c>
      <c r="H32" s="84">
        <f t="shared" si="2"/>
        <v>163.88709875459998</v>
      </c>
      <c r="I32" s="84">
        <v>117.11377256669998</v>
      </c>
      <c r="J32" s="84">
        <v>46.773326187899997</v>
      </c>
      <c r="K32" s="85">
        <f t="shared" si="3"/>
        <v>584.40454999999997</v>
      </c>
      <c r="L32" s="85">
        <f>'[2]Смета 2019'!$D$91</f>
        <v>342.61039</v>
      </c>
      <c r="M32" s="85">
        <f>'[2]Смета 2019'!$F$91</f>
        <v>241.79416000000001</v>
      </c>
      <c r="N32" s="86"/>
      <c r="O32" s="86"/>
      <c r="P32" s="87"/>
      <c r="Q32" s="86"/>
      <c r="R32" s="86"/>
      <c r="S32" s="86"/>
      <c r="T32" s="86"/>
      <c r="U32" s="86"/>
      <c r="V32" s="86"/>
      <c r="W32" s="86"/>
      <c r="X32" s="86"/>
      <c r="Y32" s="86"/>
    </row>
    <row r="33" spans="1:25" s="50" customFormat="1" hidden="1">
      <c r="A33" s="81"/>
      <c r="B33" s="82" t="s">
        <v>61</v>
      </c>
      <c r="C33" s="60"/>
      <c r="D33" s="60"/>
      <c r="E33" s="83">
        <f t="shared" si="1"/>
        <v>12.03627</v>
      </c>
      <c r="F33" s="84">
        <f>'[1]смета полн'!W77+'[1]смета полн'!H77</f>
        <v>9.1221700000000006</v>
      </c>
      <c r="G33" s="60">
        <f>'[1]смета полн'!Q77+'[1]смета полн'!T77</f>
        <v>2.9140999999999995</v>
      </c>
      <c r="H33" s="84">
        <f t="shared" si="2"/>
        <v>18.912711413699999</v>
      </c>
      <c r="I33" s="84">
        <v>14.333756942699999</v>
      </c>
      <c r="J33" s="84">
        <v>4.5789544709999985</v>
      </c>
      <c r="K33" s="85">
        <f t="shared" si="3"/>
        <v>16.45288</v>
      </c>
      <c r="L33" s="85">
        <f>'[2]Смета 2019'!$D$96+1.44</f>
        <v>11.53584</v>
      </c>
      <c r="M33" s="85">
        <f>'[2]Смета 2019'!$F$96+0.43</f>
        <v>4.917040000000001</v>
      </c>
      <c r="N33" s="86"/>
      <c r="O33" s="86"/>
      <c r="P33" s="87"/>
      <c r="Q33" s="86"/>
      <c r="R33" s="86"/>
      <c r="S33" s="86"/>
      <c r="T33" s="86"/>
      <c r="U33" s="86"/>
      <c r="V33" s="86"/>
      <c r="W33" s="86"/>
      <c r="X33" s="86"/>
      <c r="Y33" s="86"/>
    </row>
    <row r="34" spans="1:25" s="50" customFormat="1" hidden="1">
      <c r="A34" s="81"/>
      <c r="B34" s="89" t="s">
        <v>62</v>
      </c>
      <c r="C34" s="60"/>
      <c r="D34" s="60"/>
      <c r="E34" s="83">
        <f t="shared" si="1"/>
        <v>0</v>
      </c>
      <c r="F34" s="84">
        <f>'[1]смета полн'!W78+'[1]смета полн'!H78</f>
        <v>0</v>
      </c>
      <c r="G34" s="60">
        <f>'[1]смета полн'!Q78+'[1]смета полн'!T78</f>
        <v>0</v>
      </c>
      <c r="H34" s="60">
        <f t="shared" si="2"/>
        <v>0</v>
      </c>
      <c r="I34" s="84">
        <v>0</v>
      </c>
      <c r="J34" s="84">
        <v>0</v>
      </c>
      <c r="K34" s="85">
        <f t="shared" si="3"/>
        <v>8.9648999999999983</v>
      </c>
      <c r="L34" s="85">
        <f>'[2]Смета 2019'!$D$97</f>
        <v>2.3906399999999999</v>
      </c>
      <c r="M34" s="85">
        <f>'[2]Смета 2019'!$F$97</f>
        <v>6.5742599999999989</v>
      </c>
      <c r="N34" s="86"/>
      <c r="O34" s="86"/>
      <c r="P34" s="87"/>
      <c r="Q34" s="86"/>
      <c r="R34" s="86"/>
      <c r="S34" s="86"/>
      <c r="T34" s="86"/>
      <c r="U34" s="86"/>
      <c r="V34" s="86"/>
      <c r="W34" s="86"/>
      <c r="X34" s="86"/>
      <c r="Y34" s="86"/>
    </row>
    <row r="35" spans="1:25" s="50" customFormat="1" hidden="1">
      <c r="A35" s="81"/>
      <c r="B35" s="82" t="s">
        <v>63</v>
      </c>
      <c r="C35" s="60"/>
      <c r="D35" s="60"/>
      <c r="E35" s="83">
        <f t="shared" si="1"/>
        <v>0</v>
      </c>
      <c r="F35" s="84">
        <f>'[1]смета полн'!W79+'[1]смета полн'!H79</f>
        <v>0</v>
      </c>
      <c r="G35" s="60">
        <f>'[1]смета полн'!Q79+'[1]смета полн'!T79</f>
        <v>0</v>
      </c>
      <c r="H35" s="60">
        <f t="shared" si="2"/>
        <v>0</v>
      </c>
      <c r="I35" s="84">
        <v>0</v>
      </c>
      <c r="J35" s="84">
        <v>0</v>
      </c>
      <c r="K35" s="85">
        <f t="shared" si="3"/>
        <v>7.8978400000000004</v>
      </c>
      <c r="L35" s="85">
        <f>'[2]Смета 2019'!$D$99+3.658</f>
        <v>6.8178400000000003</v>
      </c>
      <c r="M35" s="85">
        <v>1.08</v>
      </c>
      <c r="N35" s="86"/>
      <c r="O35" s="86"/>
      <c r="P35" s="87"/>
      <c r="Q35" s="86"/>
      <c r="R35" s="86"/>
      <c r="S35" s="86"/>
      <c r="T35" s="86"/>
      <c r="U35" s="86"/>
      <c r="V35" s="86"/>
      <c r="W35" s="86"/>
      <c r="X35" s="86"/>
      <c r="Y35" s="86"/>
    </row>
    <row r="36" spans="1:25" s="50" customFormat="1" ht="30" hidden="1">
      <c r="A36" s="81"/>
      <c r="B36" s="82" t="s">
        <v>64</v>
      </c>
      <c r="C36" s="60"/>
      <c r="D36" s="60"/>
      <c r="E36" s="83">
        <f t="shared" si="1"/>
        <v>3.35412</v>
      </c>
      <c r="F36" s="84">
        <f>'[1]смета полн'!W80+'[1]смета полн'!H80</f>
        <v>2.0364300000000002</v>
      </c>
      <c r="G36" s="60">
        <f>'[1]смета полн'!Q80+'[1]смета полн'!T80</f>
        <v>1.3176899999999998</v>
      </c>
      <c r="H36" s="84">
        <f t="shared" si="2"/>
        <v>5.2703622972000002</v>
      </c>
      <c r="I36" s="84">
        <v>3.1998628233000002</v>
      </c>
      <c r="J36" s="84">
        <v>2.0704994738999996</v>
      </c>
      <c r="K36" s="85">
        <f t="shared" si="3"/>
        <v>6.6320000000000006</v>
      </c>
      <c r="L36" s="85">
        <f>'[2]Смета 2019'!$D$100</f>
        <v>5.1580000000000004</v>
      </c>
      <c r="M36" s="85">
        <f>'[2]Смета 2019'!$F$100</f>
        <v>1.474</v>
      </c>
      <c r="N36" s="86"/>
      <c r="O36" s="86"/>
      <c r="P36" s="87"/>
      <c r="Q36" s="86"/>
      <c r="R36" s="86"/>
      <c r="S36" s="86"/>
      <c r="T36" s="86"/>
      <c r="U36" s="86"/>
      <c r="V36" s="86"/>
      <c r="W36" s="86"/>
      <c r="X36" s="86"/>
      <c r="Y36" s="86"/>
    </row>
    <row r="37" spans="1:25" s="50" customFormat="1" hidden="1">
      <c r="A37" s="81"/>
      <c r="B37" s="90" t="s">
        <v>65</v>
      </c>
      <c r="C37" s="60"/>
      <c r="D37" s="60"/>
      <c r="E37" s="83">
        <f t="shared" si="1"/>
        <v>0</v>
      </c>
      <c r="F37" s="84">
        <f>'[1]смета полн'!W81+'[1]смета полн'!H81</f>
        <v>0</v>
      </c>
      <c r="G37" s="60">
        <f>'[1]смета полн'!Q81+'[1]смета полн'!T81</f>
        <v>0</v>
      </c>
      <c r="H37" s="60">
        <f t="shared" si="2"/>
        <v>0</v>
      </c>
      <c r="I37" s="84">
        <v>0</v>
      </c>
      <c r="J37" s="84">
        <v>0</v>
      </c>
      <c r="K37" s="85">
        <f t="shared" si="3"/>
        <v>268.03457999999995</v>
      </c>
      <c r="L37" s="85">
        <f>'[2]Смета 2019'!$D$95</f>
        <v>88.91849999999998</v>
      </c>
      <c r="M37" s="85">
        <f>'[2]Смета 2019'!$F$95</f>
        <v>179.11607999999998</v>
      </c>
      <c r="N37" s="86"/>
      <c r="O37" s="86"/>
      <c r="P37" s="87"/>
      <c r="Q37" s="86"/>
      <c r="R37" s="86"/>
      <c r="S37" s="86"/>
      <c r="T37" s="86"/>
      <c r="U37" s="86"/>
      <c r="V37" s="86"/>
      <c r="W37" s="86"/>
      <c r="X37" s="86"/>
      <c r="Y37" s="86"/>
    </row>
    <row r="38" spans="1:25" s="50" customFormat="1" ht="30" hidden="1">
      <c r="A38" s="81"/>
      <c r="B38" s="91" t="s">
        <v>66</v>
      </c>
      <c r="C38" s="60"/>
      <c r="D38" s="60"/>
      <c r="E38" s="83">
        <f t="shared" si="1"/>
        <v>0</v>
      </c>
      <c r="F38" s="84">
        <f>'[1]смета полн'!W82+'[1]смета полн'!H82</f>
        <v>0</v>
      </c>
      <c r="G38" s="60">
        <f>'[1]смета полн'!Q82+'[1]смета полн'!T82</f>
        <v>0</v>
      </c>
      <c r="H38" s="60">
        <f t="shared" si="2"/>
        <v>0</v>
      </c>
      <c r="I38" s="84">
        <v>0</v>
      </c>
      <c r="J38" s="84">
        <v>0</v>
      </c>
      <c r="K38" s="85">
        <f t="shared" si="3"/>
        <v>103.29898</v>
      </c>
      <c r="L38" s="85">
        <f>'[2]Смета 2019'!$D$115</f>
        <v>103.29898</v>
      </c>
      <c r="M38" s="85"/>
      <c r="N38" s="86"/>
      <c r="O38" s="86"/>
      <c r="P38" s="87"/>
      <c r="Q38" s="86"/>
      <c r="R38" s="86"/>
      <c r="S38" s="86"/>
      <c r="T38" s="86"/>
      <c r="U38" s="86"/>
      <c r="V38" s="86"/>
      <c r="W38" s="86"/>
      <c r="X38" s="86"/>
      <c r="Y38" s="86"/>
    </row>
    <row r="39" spans="1:25" s="50" customFormat="1" ht="30" hidden="1">
      <c r="A39" s="81"/>
      <c r="B39" s="82" t="s">
        <v>67</v>
      </c>
      <c r="C39" s="60"/>
      <c r="D39" s="60"/>
      <c r="E39" s="83">
        <f t="shared" si="1"/>
        <v>0</v>
      </c>
      <c r="F39" s="84">
        <f>'[1]смета полн'!W83+'[1]смета полн'!H83</f>
        <v>0</v>
      </c>
      <c r="G39" s="60">
        <f>'[1]смета полн'!Q83+'[1]смета полн'!T83</f>
        <v>0</v>
      </c>
      <c r="H39" s="60">
        <f t="shared" si="2"/>
        <v>0</v>
      </c>
      <c r="I39" s="84">
        <v>0</v>
      </c>
      <c r="J39" s="84">
        <v>0</v>
      </c>
      <c r="K39" s="85">
        <f t="shared" si="3"/>
        <v>0</v>
      </c>
      <c r="L39" s="85"/>
      <c r="M39" s="85"/>
      <c r="N39" s="86"/>
      <c r="O39" s="86"/>
      <c r="P39" s="87"/>
      <c r="Q39" s="86"/>
      <c r="R39" s="86"/>
      <c r="S39" s="86"/>
      <c r="T39" s="86"/>
      <c r="U39" s="86"/>
      <c r="V39" s="86"/>
      <c r="W39" s="86"/>
      <c r="X39" s="86"/>
      <c r="Y39" s="86"/>
    </row>
    <row r="40" spans="1:25" s="50" customFormat="1" hidden="1">
      <c r="A40" s="81"/>
      <c r="B40" s="89" t="s">
        <v>68</v>
      </c>
      <c r="C40" s="60"/>
      <c r="D40" s="60"/>
      <c r="E40" s="83">
        <f t="shared" si="1"/>
        <v>11.28295</v>
      </c>
      <c r="F40" s="84">
        <f>'[1]смета полн'!W84+'[1]смета полн'!H84</f>
        <v>11.266259999999999</v>
      </c>
      <c r="G40" s="60">
        <f>'[1]смета полн'!Q84+'[1]смета полн'!T84</f>
        <v>1.669E-2</v>
      </c>
      <c r="H40" s="84">
        <f t="shared" si="2"/>
        <v>17.729012164499999</v>
      </c>
      <c r="I40" s="84">
        <v>17.702787000599997</v>
      </c>
      <c r="J40" s="84">
        <v>2.6225163899999997E-2</v>
      </c>
      <c r="K40" s="85">
        <f t="shared" si="3"/>
        <v>18.860195999999998</v>
      </c>
      <c r="L40" s="85">
        <f>'[2]Смета 2019'!$D$107</f>
        <v>15.01642</v>
      </c>
      <c r="M40" s="85">
        <f>'[2]Смета 2019'!$F$107</f>
        <v>3.8437759999999996</v>
      </c>
      <c r="N40" s="86"/>
      <c r="O40" s="86"/>
      <c r="P40" s="87"/>
      <c r="Q40" s="86"/>
      <c r="R40" s="86"/>
      <c r="S40" s="86"/>
      <c r="T40" s="86"/>
      <c r="U40" s="86"/>
      <c r="V40" s="86"/>
      <c r="W40" s="86"/>
      <c r="X40" s="86"/>
      <c r="Y40" s="86"/>
    </row>
    <row r="41" spans="1:25" s="50" customFormat="1" hidden="1">
      <c r="A41" s="81"/>
      <c r="B41" s="82" t="s">
        <v>69</v>
      </c>
      <c r="C41" s="60"/>
      <c r="D41" s="60"/>
      <c r="E41" s="83">
        <f t="shared" si="1"/>
        <v>0.89666999999999986</v>
      </c>
      <c r="F41" s="84">
        <f>'[1]смета полн'!W85+'[1]смета полн'!H85</f>
        <v>0.89666999999999986</v>
      </c>
      <c r="G41" s="60">
        <f>'[1]смета полн'!Q85+'[1]смета полн'!T85</f>
        <v>0</v>
      </c>
      <c r="H41" s="84">
        <f t="shared" si="2"/>
        <v>1.4089465376999997</v>
      </c>
      <c r="I41" s="84">
        <v>1.4089465376999997</v>
      </c>
      <c r="J41" s="84">
        <v>0</v>
      </c>
      <c r="K41" s="85">
        <f t="shared" si="3"/>
        <v>170.19090199999999</v>
      </c>
      <c r="L41" s="85">
        <f>'[2]Смета 2019'!$D$108</f>
        <v>151.6645</v>
      </c>
      <c r="M41" s="85">
        <f>'[2]Смета 2019'!$F$108</f>
        <v>18.526402000000001</v>
      </c>
      <c r="N41" s="86"/>
      <c r="O41" s="86"/>
      <c r="P41" s="87"/>
      <c r="Q41" s="86"/>
      <c r="R41" s="86"/>
      <c r="S41" s="86"/>
      <c r="T41" s="86"/>
      <c r="U41" s="86"/>
      <c r="V41" s="86"/>
      <c r="W41" s="86"/>
      <c r="X41" s="86"/>
      <c r="Y41" s="86"/>
    </row>
    <row r="42" spans="1:25" s="50" customFormat="1" hidden="1">
      <c r="A42" s="81"/>
      <c r="B42" s="88" t="s">
        <v>70</v>
      </c>
      <c r="C42" s="60"/>
      <c r="D42" s="60"/>
      <c r="E42" s="83">
        <f t="shared" si="1"/>
        <v>0</v>
      </c>
      <c r="F42" s="84">
        <f>'[1]смета полн'!W86+'[1]смета полн'!H86</f>
        <v>0</v>
      </c>
      <c r="G42" s="60">
        <f>'[1]смета полн'!Q86+'[1]смета полн'!T86</f>
        <v>0</v>
      </c>
      <c r="H42" s="84">
        <f t="shared" si="2"/>
        <v>0</v>
      </c>
      <c r="I42" s="84">
        <v>0</v>
      </c>
      <c r="J42" s="84">
        <v>0</v>
      </c>
      <c r="K42" s="85">
        <f t="shared" si="3"/>
        <v>0</v>
      </c>
      <c r="L42" s="85"/>
      <c r="M42" s="85"/>
      <c r="N42" s="86"/>
      <c r="O42" s="86"/>
      <c r="P42" s="87"/>
      <c r="Q42" s="86"/>
      <c r="R42" s="86"/>
      <c r="S42" s="86"/>
      <c r="T42" s="86"/>
      <c r="U42" s="86"/>
      <c r="V42" s="86"/>
      <c r="W42" s="86"/>
      <c r="X42" s="86"/>
      <c r="Y42" s="86"/>
    </row>
    <row r="43" spans="1:25" s="50" customFormat="1" hidden="1">
      <c r="A43" s="81"/>
      <c r="B43" s="88" t="s">
        <v>71</v>
      </c>
      <c r="C43" s="60"/>
      <c r="D43" s="60"/>
      <c r="E43" s="83">
        <f t="shared" si="1"/>
        <v>0.50085000000000002</v>
      </c>
      <c r="F43" s="84">
        <f>'[1]смета полн'!W87+'[1]смета полн'!H87</f>
        <v>0.50085000000000002</v>
      </c>
      <c r="G43" s="60">
        <f>'[1]смета полн'!Q87+'[1]смета полн'!T87</f>
        <v>0</v>
      </c>
      <c r="H43" s="84">
        <f t="shared" si="2"/>
        <v>0.78699061349999988</v>
      </c>
      <c r="I43" s="84">
        <v>0.78699061349999988</v>
      </c>
      <c r="J43" s="84">
        <v>0</v>
      </c>
      <c r="K43" s="85">
        <f t="shared" si="3"/>
        <v>0</v>
      </c>
      <c r="L43" s="85"/>
      <c r="M43" s="85"/>
      <c r="N43" s="86"/>
      <c r="O43" s="86"/>
      <c r="P43" s="87"/>
      <c r="Q43" s="86"/>
      <c r="R43" s="86"/>
      <c r="S43" s="86"/>
      <c r="T43" s="86"/>
      <c r="U43" s="86"/>
      <c r="V43" s="86"/>
      <c r="W43" s="86"/>
      <c r="X43" s="86"/>
      <c r="Y43" s="86"/>
    </row>
    <row r="44" spans="1:25" s="50" customFormat="1" hidden="1">
      <c r="A44" s="81"/>
      <c r="B44" s="82" t="s">
        <v>72</v>
      </c>
      <c r="C44" s="60"/>
      <c r="D44" s="60"/>
      <c r="E44" s="83">
        <f t="shared" si="1"/>
        <v>12.406780000000001</v>
      </c>
      <c r="F44" s="84">
        <f>'[1]смета полн'!W88+'[1]смета полн'!H88</f>
        <v>12.406780000000001</v>
      </c>
      <c r="G44" s="60">
        <f>'[1]смета полн'!Q88+'[1]смета полн'!T88</f>
        <v>0</v>
      </c>
      <c r="H44" s="84">
        <f t="shared" si="2"/>
        <v>19.494897481800002</v>
      </c>
      <c r="I44" s="84">
        <v>19.494897481800002</v>
      </c>
      <c r="J44" s="84">
        <v>0</v>
      </c>
      <c r="K44" s="85">
        <f t="shared" si="3"/>
        <v>21.333320000000001</v>
      </c>
      <c r="L44" s="85">
        <f>'[2]Смета 2019'!$D$114</f>
        <v>21.333320000000001</v>
      </c>
      <c r="M44" s="85"/>
      <c r="N44" s="86"/>
      <c r="O44" s="86"/>
      <c r="P44" s="87"/>
      <c r="Q44" s="86"/>
      <c r="R44" s="86"/>
      <c r="S44" s="86"/>
      <c r="T44" s="86"/>
      <c r="U44" s="86"/>
      <c r="V44" s="86"/>
      <c r="W44" s="86"/>
      <c r="X44" s="86"/>
      <c r="Y44" s="86"/>
    </row>
    <row r="45" spans="1:25" s="50" customFormat="1" hidden="1">
      <c r="A45" s="81"/>
      <c r="B45" s="82" t="s">
        <v>73</v>
      </c>
      <c r="C45" s="60"/>
      <c r="D45" s="60"/>
      <c r="E45" s="83">
        <f t="shared" si="1"/>
        <v>0</v>
      </c>
      <c r="F45" s="84">
        <f>'[1]смета полн'!W89+'[1]смета полн'!H89</f>
        <v>0</v>
      </c>
      <c r="G45" s="60">
        <f>'[1]смета полн'!Q89+'[1]смета полн'!T89</f>
        <v>0</v>
      </c>
      <c r="H45" s="60">
        <f t="shared" si="2"/>
        <v>0</v>
      </c>
      <c r="I45" s="84">
        <v>0</v>
      </c>
      <c r="J45" s="84">
        <v>0</v>
      </c>
      <c r="K45" s="85">
        <f>L45+M45</f>
        <v>0</v>
      </c>
      <c r="L45" s="85"/>
      <c r="M45" s="85"/>
      <c r="N45" s="86"/>
      <c r="O45" s="86"/>
      <c r="P45" s="87"/>
      <c r="Q45" s="86"/>
      <c r="R45" s="86"/>
      <c r="S45" s="86"/>
      <c r="T45" s="86"/>
      <c r="U45" s="86"/>
      <c r="V45" s="86"/>
      <c r="W45" s="86"/>
      <c r="X45" s="86"/>
      <c r="Y45" s="86"/>
    </row>
    <row r="46" spans="1:25" s="50" customFormat="1" hidden="1">
      <c r="A46" s="81"/>
      <c r="B46" s="90" t="s">
        <v>74</v>
      </c>
      <c r="C46" s="60"/>
      <c r="D46" s="60"/>
      <c r="E46" s="83"/>
      <c r="F46" s="84"/>
      <c r="G46" s="60"/>
      <c r="H46" s="60"/>
      <c r="I46" s="84"/>
      <c r="J46" s="84"/>
      <c r="K46" s="85">
        <f t="shared" ref="K46" si="4">L46+M46</f>
        <v>102.0381433</v>
      </c>
      <c r="L46" s="85">
        <f>'[2]Смета 2019'!$D$87</f>
        <v>39.636969200000003</v>
      </c>
      <c r="M46" s="85">
        <f>'[2]Смета 2019'!$F$87</f>
        <v>62.401174099999999</v>
      </c>
      <c r="N46" s="86"/>
      <c r="O46" s="86"/>
      <c r="P46" s="87"/>
      <c r="Q46" s="86"/>
      <c r="R46" s="86"/>
      <c r="S46" s="86"/>
      <c r="T46" s="86"/>
      <c r="U46" s="86"/>
      <c r="V46" s="86"/>
      <c r="W46" s="86"/>
      <c r="X46" s="86"/>
      <c r="Y46" s="86"/>
    </row>
    <row r="47" spans="1:25" ht="31.5">
      <c r="A47" s="74" t="s">
        <v>75</v>
      </c>
      <c r="B47" s="92" t="s">
        <v>76</v>
      </c>
      <c r="C47" s="45" t="s">
        <v>47</v>
      </c>
      <c r="D47" s="45">
        <v>8188.2</v>
      </c>
      <c r="E47" s="77">
        <f>F47+G47</f>
        <v>6637.8902200000002</v>
      </c>
      <c r="F47" s="77">
        <f>F48+F49</f>
        <v>0</v>
      </c>
      <c r="G47" s="77">
        <f>G48+G49</f>
        <v>6637.8902200000002</v>
      </c>
      <c r="H47" s="93">
        <f t="shared" si="2"/>
        <v>10222.3509388</v>
      </c>
      <c r="I47" s="78">
        <f>I48+I49</f>
        <v>10222.3509388</v>
      </c>
      <c r="J47" s="78">
        <f>J48+J49</f>
        <v>0</v>
      </c>
      <c r="K47" s="85">
        <f>L47+M47</f>
        <v>12401.54379</v>
      </c>
      <c r="L47" s="94">
        <f>SUM(L48:L58)</f>
        <v>4310.7686599999997</v>
      </c>
      <c r="M47" s="94">
        <f>SUM(M48:M58)</f>
        <v>8090.7751299999991</v>
      </c>
      <c r="N47" s="79" t="s">
        <v>50</v>
      </c>
      <c r="O47" s="79" t="s">
        <v>50</v>
      </c>
      <c r="P47" s="80" t="s">
        <v>50</v>
      </c>
      <c r="Q47" s="79" t="s">
        <v>50</v>
      </c>
      <c r="R47" s="79" t="s">
        <v>50</v>
      </c>
      <c r="S47" s="79" t="s">
        <v>50</v>
      </c>
      <c r="T47" s="79" t="s">
        <v>50</v>
      </c>
      <c r="U47" s="79" t="s">
        <v>50</v>
      </c>
      <c r="V47" s="79" t="s">
        <v>50</v>
      </c>
      <c r="W47" s="79" t="s">
        <v>50</v>
      </c>
      <c r="X47" s="79" t="s">
        <v>50</v>
      </c>
      <c r="Y47" s="79" t="s">
        <v>50</v>
      </c>
    </row>
    <row r="48" spans="1:25" s="50" customFormat="1" ht="30" hidden="1">
      <c r="A48" s="81"/>
      <c r="B48" s="95" t="s">
        <v>77</v>
      </c>
      <c r="C48" s="60"/>
      <c r="D48" s="60"/>
      <c r="E48" s="84">
        <f>F48+G48</f>
        <v>1890.7075200000002</v>
      </c>
      <c r="F48" s="84"/>
      <c r="G48" s="84">
        <v>1890.7075200000002</v>
      </c>
      <c r="H48" s="93">
        <f t="shared" si="2"/>
        <v>2911.6895808000004</v>
      </c>
      <c r="I48" s="85">
        <f>G48*1.54</f>
        <v>2911.6895808000004</v>
      </c>
      <c r="J48" s="85"/>
      <c r="K48" s="85">
        <f t="shared" ref="K48:K124" si="5">L48+M48</f>
        <v>2736.3847500000002</v>
      </c>
      <c r="L48" s="85"/>
      <c r="M48" s="85">
        <f>'[2]Смета 2019'!$E$44+'[2]Смета 2019'!$F$44</f>
        <v>2736.3847500000002</v>
      </c>
      <c r="N48" s="86"/>
      <c r="O48" s="86"/>
      <c r="P48" s="87"/>
      <c r="Q48" s="86"/>
      <c r="R48" s="86"/>
      <c r="S48" s="86"/>
      <c r="T48" s="86"/>
      <c r="U48" s="86"/>
      <c r="V48" s="86"/>
      <c r="W48" s="86"/>
      <c r="X48" s="86"/>
      <c r="Y48" s="86"/>
    </row>
    <row r="49" spans="1:25" s="50" customFormat="1" hidden="1">
      <c r="A49" s="81"/>
      <c r="B49" s="95" t="s">
        <v>78</v>
      </c>
      <c r="C49" s="60"/>
      <c r="D49" s="60"/>
      <c r="E49" s="84">
        <f>F49+G49</f>
        <v>4747.1827000000003</v>
      </c>
      <c r="F49" s="84"/>
      <c r="G49" s="84">
        <v>4747.1827000000003</v>
      </c>
      <c r="H49" s="93">
        <f t="shared" si="2"/>
        <v>7310.6613580000003</v>
      </c>
      <c r="I49" s="85">
        <f t="shared" ref="I49" si="6">G49*1.54</f>
        <v>7310.6613580000003</v>
      </c>
      <c r="J49" s="85"/>
      <c r="K49" s="85">
        <f t="shared" si="5"/>
        <v>4750.3714499999996</v>
      </c>
      <c r="L49" s="85"/>
      <c r="M49" s="85">
        <f>'[2]Смета 2019'!$E$45+'[2]Смета 2019'!$F$45</f>
        <v>4750.3714499999996</v>
      </c>
      <c r="N49" s="86"/>
      <c r="O49" s="86"/>
      <c r="P49" s="87"/>
      <c r="Q49" s="86"/>
      <c r="R49" s="86"/>
      <c r="S49" s="86"/>
      <c r="T49" s="86"/>
      <c r="U49" s="86"/>
      <c r="V49" s="86"/>
      <c r="W49" s="86"/>
      <c r="X49" s="86"/>
      <c r="Y49" s="86"/>
    </row>
    <row r="50" spans="1:25" s="50" customFormat="1" ht="90" hidden="1">
      <c r="A50" s="81"/>
      <c r="B50" s="96" t="s">
        <v>79</v>
      </c>
      <c r="C50" s="60"/>
      <c r="D50" s="60"/>
      <c r="E50" s="84"/>
      <c r="F50" s="84"/>
      <c r="G50" s="84"/>
      <c r="H50" s="93"/>
      <c r="I50" s="85"/>
      <c r="J50" s="85"/>
      <c r="K50" s="85">
        <f t="shared" si="5"/>
        <v>1168.1300000000001</v>
      </c>
      <c r="L50" s="85">
        <f>'[2]Смета 2019'!$D$47</f>
        <v>1168.1300000000001</v>
      </c>
      <c r="M50" s="85"/>
      <c r="N50" s="86"/>
      <c r="O50" s="86"/>
      <c r="P50" s="87"/>
      <c r="Q50" s="86"/>
      <c r="R50" s="86"/>
      <c r="S50" s="86"/>
      <c r="T50" s="86"/>
      <c r="U50" s="86"/>
      <c r="V50" s="86"/>
      <c r="W50" s="86"/>
      <c r="X50" s="86"/>
      <c r="Y50" s="86"/>
    </row>
    <row r="51" spans="1:25" s="50" customFormat="1" ht="25.5" hidden="1">
      <c r="A51" s="81"/>
      <c r="B51" s="97" t="s">
        <v>80</v>
      </c>
      <c r="C51" s="60"/>
      <c r="D51" s="60"/>
      <c r="E51" s="84"/>
      <c r="F51" s="84"/>
      <c r="G51" s="84"/>
      <c r="H51" s="93"/>
      <c r="I51" s="85"/>
      <c r="J51" s="85"/>
      <c r="K51" s="85">
        <f t="shared" si="5"/>
        <v>518.36500000000001</v>
      </c>
      <c r="L51" s="85">
        <v>518.36500000000001</v>
      </c>
      <c r="M51" s="85"/>
      <c r="N51" s="86"/>
      <c r="O51" s="86"/>
      <c r="P51" s="87"/>
      <c r="Q51" s="86"/>
      <c r="R51" s="86"/>
      <c r="S51" s="86"/>
      <c r="T51" s="86"/>
      <c r="U51" s="86"/>
      <c r="V51" s="86"/>
      <c r="W51" s="86"/>
      <c r="X51" s="86"/>
      <c r="Y51" s="86"/>
    </row>
    <row r="52" spans="1:25" s="50" customFormat="1" ht="25.5" hidden="1">
      <c r="A52" s="81"/>
      <c r="B52" s="97" t="s">
        <v>81</v>
      </c>
      <c r="C52" s="60"/>
      <c r="D52" s="60"/>
      <c r="E52" s="84"/>
      <c r="F52" s="84"/>
      <c r="G52" s="84"/>
      <c r="H52" s="93"/>
      <c r="I52" s="85"/>
      <c r="J52" s="85"/>
      <c r="K52" s="85">
        <f t="shared" si="5"/>
        <v>518.36500000000001</v>
      </c>
      <c r="L52" s="85">
        <v>518.36500000000001</v>
      </c>
      <c r="M52" s="85"/>
      <c r="N52" s="86"/>
      <c r="O52" s="86"/>
      <c r="P52" s="87"/>
      <c r="Q52" s="86"/>
      <c r="R52" s="86"/>
      <c r="S52" s="86"/>
      <c r="T52" s="86"/>
      <c r="U52" s="86"/>
      <c r="V52" s="86"/>
      <c r="W52" s="86"/>
      <c r="X52" s="86"/>
      <c r="Y52" s="86"/>
    </row>
    <row r="53" spans="1:25" s="50" customFormat="1" ht="25.5" hidden="1">
      <c r="A53" s="81"/>
      <c r="B53" s="97" t="s">
        <v>82</v>
      </c>
      <c r="C53" s="60"/>
      <c r="D53" s="60"/>
      <c r="E53" s="84"/>
      <c r="F53" s="84"/>
      <c r="G53" s="84"/>
      <c r="H53" s="93"/>
      <c r="I53" s="85"/>
      <c r="J53" s="85"/>
      <c r="K53" s="85">
        <f t="shared" si="5"/>
        <v>518.36500000000001</v>
      </c>
      <c r="L53" s="85">
        <v>518.36500000000001</v>
      </c>
      <c r="M53" s="85"/>
      <c r="N53" s="86"/>
      <c r="O53" s="86"/>
      <c r="P53" s="87"/>
      <c r="Q53" s="86"/>
      <c r="R53" s="86"/>
      <c r="S53" s="86"/>
      <c r="T53" s="86"/>
      <c r="U53" s="86"/>
      <c r="V53" s="86"/>
      <c r="W53" s="86"/>
      <c r="X53" s="86"/>
      <c r="Y53" s="86"/>
    </row>
    <row r="54" spans="1:25" s="50" customFormat="1" ht="25.5" hidden="1">
      <c r="A54" s="81"/>
      <c r="B54" s="97" t="s">
        <v>83</v>
      </c>
      <c r="C54" s="60"/>
      <c r="D54" s="60"/>
      <c r="E54" s="84"/>
      <c r="F54" s="84"/>
      <c r="G54" s="84"/>
      <c r="H54" s="93"/>
      <c r="I54" s="85"/>
      <c r="J54" s="85"/>
      <c r="K54" s="85">
        <f t="shared" si="5"/>
        <v>518.36500000000001</v>
      </c>
      <c r="L54" s="85">
        <v>518.36500000000001</v>
      </c>
      <c r="M54" s="85"/>
      <c r="N54" s="86"/>
      <c r="O54" s="86"/>
      <c r="P54" s="87"/>
      <c r="Q54" s="86"/>
      <c r="R54" s="86"/>
      <c r="S54" s="86"/>
      <c r="T54" s="86"/>
      <c r="U54" s="86"/>
      <c r="V54" s="86"/>
      <c r="W54" s="86"/>
      <c r="X54" s="86"/>
      <c r="Y54" s="86"/>
    </row>
    <row r="55" spans="1:25" s="50" customFormat="1" ht="30" hidden="1">
      <c r="A55" s="81"/>
      <c r="B55" s="98" t="s">
        <v>84</v>
      </c>
      <c r="C55" s="60"/>
      <c r="D55" s="60"/>
      <c r="E55" s="83"/>
      <c r="F55" s="84"/>
      <c r="G55" s="60"/>
      <c r="H55" s="60"/>
      <c r="I55" s="84"/>
      <c r="J55" s="84"/>
      <c r="K55" s="85">
        <f>L55+M55</f>
        <v>1069.1786599999998</v>
      </c>
      <c r="L55" s="85">
        <f>'[2]Смета 2019'!$D$124</f>
        <v>1069.1786599999998</v>
      </c>
      <c r="M55" s="85"/>
      <c r="N55" s="86"/>
      <c r="O55" s="86"/>
      <c r="P55" s="87"/>
      <c r="Q55" s="86"/>
      <c r="R55" s="86"/>
      <c r="S55" s="86"/>
      <c r="T55" s="86"/>
      <c r="U55" s="86"/>
      <c r="V55" s="86"/>
      <c r="W55" s="86"/>
      <c r="X55" s="86"/>
      <c r="Y55" s="86"/>
    </row>
    <row r="56" spans="1:25" s="50" customFormat="1" ht="45" hidden="1">
      <c r="A56" s="81"/>
      <c r="B56" s="99" t="s">
        <v>85</v>
      </c>
      <c r="C56" s="60"/>
      <c r="D56" s="60"/>
      <c r="E56" s="83"/>
      <c r="F56" s="84"/>
      <c r="G56" s="60"/>
      <c r="H56" s="60"/>
      <c r="I56" s="84"/>
      <c r="J56" s="84"/>
      <c r="K56" s="85">
        <f>L56+M56</f>
        <v>318.54300000000001</v>
      </c>
      <c r="L56" s="85"/>
      <c r="M56" s="85">
        <f>'[2]Смета 2019'!F125</f>
        <v>318.54300000000001</v>
      </c>
      <c r="N56" s="86"/>
      <c r="O56" s="86"/>
      <c r="P56" s="87"/>
      <c r="Q56" s="86"/>
      <c r="R56" s="86"/>
      <c r="S56" s="86"/>
      <c r="T56" s="86"/>
      <c r="U56" s="86"/>
      <c r="V56" s="86"/>
      <c r="W56" s="86"/>
      <c r="X56" s="86"/>
      <c r="Y56" s="86"/>
    </row>
    <row r="57" spans="1:25" s="50" customFormat="1" ht="30" hidden="1">
      <c r="A57" s="81"/>
      <c r="B57" s="99" t="s">
        <v>86</v>
      </c>
      <c r="C57" s="60"/>
      <c r="D57" s="60"/>
      <c r="E57" s="83"/>
      <c r="F57" s="84"/>
      <c r="G57" s="60"/>
      <c r="H57" s="60"/>
      <c r="I57" s="84"/>
      <c r="J57" s="84"/>
      <c r="K57" s="85">
        <f>L57+M57</f>
        <v>204.22026</v>
      </c>
      <c r="L57" s="85"/>
      <c r="M57" s="85">
        <f>'[2]Смета 2019'!F126</f>
        <v>204.22026</v>
      </c>
      <c r="N57" s="86"/>
      <c r="O57" s="86"/>
      <c r="P57" s="87"/>
      <c r="Q57" s="86"/>
      <c r="R57" s="86"/>
      <c r="S57" s="86"/>
      <c r="T57" s="86"/>
      <c r="U57" s="86"/>
      <c r="V57" s="86"/>
      <c r="W57" s="86"/>
      <c r="X57" s="86"/>
      <c r="Y57" s="86"/>
    </row>
    <row r="58" spans="1:25" s="50" customFormat="1" ht="30" hidden="1">
      <c r="A58" s="81"/>
      <c r="B58" s="99" t="s">
        <v>87</v>
      </c>
      <c r="C58" s="60"/>
      <c r="D58" s="60"/>
      <c r="E58" s="83"/>
      <c r="F58" s="84"/>
      <c r="G58" s="60"/>
      <c r="H58" s="60"/>
      <c r="I58" s="84"/>
      <c r="J58" s="84"/>
      <c r="K58" s="85">
        <f>L58+M58</f>
        <v>81.255669999999995</v>
      </c>
      <c r="L58" s="85"/>
      <c r="M58" s="85">
        <f>'[2]Смета 2019'!F127</f>
        <v>81.255669999999995</v>
      </c>
      <c r="N58" s="86"/>
      <c r="O58" s="86"/>
      <c r="P58" s="87"/>
      <c r="Q58" s="86"/>
      <c r="R58" s="86"/>
      <c r="S58" s="86"/>
      <c r="T58" s="86"/>
      <c r="U58" s="86"/>
      <c r="V58" s="86"/>
      <c r="W58" s="86"/>
      <c r="X58" s="86"/>
      <c r="Y58" s="86"/>
    </row>
    <row r="59" spans="1:25">
      <c r="A59" s="74" t="s">
        <v>88</v>
      </c>
      <c r="B59" s="92" t="s">
        <v>89</v>
      </c>
      <c r="C59" s="45" t="s">
        <v>47</v>
      </c>
      <c r="D59" s="45">
        <f>D62+D66+D70</f>
        <v>34519.450000000004</v>
      </c>
      <c r="E59" s="77">
        <f t="shared" ref="E59:M60" si="7">E62+E66+E70</f>
        <v>32794.191489999997</v>
      </c>
      <c r="F59" s="77">
        <f t="shared" si="7"/>
        <v>25308.629300000001</v>
      </c>
      <c r="G59" s="77">
        <f t="shared" si="7"/>
        <v>7485.5621899999996</v>
      </c>
      <c r="H59" s="77">
        <f t="shared" si="7"/>
        <v>35451.353369999997</v>
      </c>
      <c r="I59" s="77">
        <f t="shared" si="7"/>
        <v>27357.374062995557</v>
      </c>
      <c r="J59" s="77">
        <f t="shared" si="7"/>
        <v>8093.9793070044398</v>
      </c>
      <c r="K59" s="77">
        <f t="shared" si="7"/>
        <v>42996.34</v>
      </c>
      <c r="L59" s="77">
        <f t="shared" si="7"/>
        <v>33181.990000000005</v>
      </c>
      <c r="M59" s="77">
        <f t="shared" si="7"/>
        <v>9814.3499999999985</v>
      </c>
      <c r="N59" s="79" t="s">
        <v>50</v>
      </c>
      <c r="O59" s="79" t="s">
        <v>50</v>
      </c>
      <c r="P59" s="80" t="s">
        <v>50</v>
      </c>
      <c r="Q59" s="79" t="s">
        <v>50</v>
      </c>
      <c r="R59" s="79" t="s">
        <v>50</v>
      </c>
      <c r="S59" s="79" t="s">
        <v>50</v>
      </c>
      <c r="T59" s="79" t="s">
        <v>50</v>
      </c>
      <c r="U59" s="79" t="s">
        <v>50</v>
      </c>
      <c r="V59" s="79" t="s">
        <v>50</v>
      </c>
      <c r="W59" s="79" t="s">
        <v>50</v>
      </c>
      <c r="X59" s="79" t="s">
        <v>50</v>
      </c>
      <c r="Y59" s="79" t="s">
        <v>50</v>
      </c>
    </row>
    <row r="60" spans="1:25">
      <c r="A60" s="74"/>
      <c r="B60" s="92" t="s">
        <v>90</v>
      </c>
      <c r="C60" s="45" t="s">
        <v>91</v>
      </c>
      <c r="D60" s="45">
        <f>D63+D67+D71</f>
        <v>78</v>
      </c>
      <c r="E60" s="84">
        <f t="shared" ref="E60:E124" si="8">F60+G60</f>
        <v>67</v>
      </c>
      <c r="F60" s="45">
        <f>F63+F67+F71</f>
        <v>47</v>
      </c>
      <c r="G60" s="45">
        <f>G63+G67+G71</f>
        <v>20</v>
      </c>
      <c r="H60" s="45">
        <f t="shared" si="7"/>
        <v>67</v>
      </c>
      <c r="I60" s="45">
        <f t="shared" si="7"/>
        <v>47</v>
      </c>
      <c r="J60" s="45">
        <f t="shared" si="7"/>
        <v>20</v>
      </c>
      <c r="K60" s="45">
        <f t="shared" si="7"/>
        <v>89</v>
      </c>
      <c r="L60" s="45">
        <f t="shared" si="7"/>
        <v>62</v>
      </c>
      <c r="M60" s="45">
        <f t="shared" si="7"/>
        <v>27</v>
      </c>
      <c r="N60" s="79"/>
      <c r="O60" s="79"/>
      <c r="P60" s="80"/>
      <c r="Q60" s="79"/>
      <c r="R60" s="79"/>
      <c r="S60" s="79"/>
      <c r="T60" s="79"/>
      <c r="U60" s="79"/>
      <c r="V60" s="79"/>
      <c r="W60" s="79"/>
      <c r="X60" s="79"/>
      <c r="Y60" s="79"/>
    </row>
    <row r="61" spans="1:25">
      <c r="A61" s="74"/>
      <c r="B61" s="92" t="s">
        <v>92</v>
      </c>
      <c r="C61" s="45" t="s">
        <v>93</v>
      </c>
      <c r="D61" s="100">
        <f>D59/D60/12*1000</f>
        <v>36879.754273504281</v>
      </c>
      <c r="E61" s="77">
        <f t="shared" ref="E61:M61" si="9">E59/E60/12*1000</f>
        <v>40788.795385572135</v>
      </c>
      <c r="F61" s="77">
        <f t="shared" si="9"/>
        <v>44873.456205673763</v>
      </c>
      <c r="G61" s="77">
        <f t="shared" si="9"/>
        <v>31189.842458333333</v>
      </c>
      <c r="H61" s="77">
        <f t="shared" si="9"/>
        <v>44093.723097014925</v>
      </c>
      <c r="I61" s="77">
        <f t="shared" si="9"/>
        <v>48505.982381197806</v>
      </c>
      <c r="J61" s="77">
        <f t="shared" si="9"/>
        <v>33724.913779185168</v>
      </c>
      <c r="K61" s="77">
        <f t="shared" si="9"/>
        <v>40258.745318352056</v>
      </c>
      <c r="L61" s="77">
        <f t="shared" si="9"/>
        <v>44599.448924731187</v>
      </c>
      <c r="M61" s="77">
        <f t="shared" si="9"/>
        <v>30291.203703703701</v>
      </c>
      <c r="N61" s="79" t="s">
        <v>50</v>
      </c>
      <c r="O61" s="79" t="s">
        <v>50</v>
      </c>
      <c r="P61" s="80" t="s">
        <v>50</v>
      </c>
      <c r="Q61" s="79" t="s">
        <v>50</v>
      </c>
      <c r="R61" s="79" t="s">
        <v>50</v>
      </c>
      <c r="S61" s="79" t="s">
        <v>50</v>
      </c>
      <c r="T61" s="79" t="s">
        <v>50</v>
      </c>
      <c r="U61" s="79" t="s">
        <v>50</v>
      </c>
      <c r="V61" s="79" t="s">
        <v>50</v>
      </c>
      <c r="W61" s="79" t="s">
        <v>50</v>
      </c>
      <c r="X61" s="79" t="s">
        <v>50</v>
      </c>
      <c r="Y61" s="79" t="s">
        <v>50</v>
      </c>
    </row>
    <row r="62" spans="1:25">
      <c r="A62" s="74" t="s">
        <v>94</v>
      </c>
      <c r="B62" s="92" t="s">
        <v>95</v>
      </c>
      <c r="C62" s="45" t="s">
        <v>47</v>
      </c>
      <c r="D62" s="45">
        <v>18800.580000000002</v>
      </c>
      <c r="E62" s="84">
        <f t="shared" si="8"/>
        <v>13517.121490000001</v>
      </c>
      <c r="F62" s="77">
        <f>9023.1823+1408.537</f>
        <v>10431.719300000001</v>
      </c>
      <c r="G62" s="77">
        <f>2735.96019+349.442</f>
        <v>3085.4021899999998</v>
      </c>
      <c r="H62" s="60">
        <f t="shared" si="2"/>
        <v>19310</v>
      </c>
      <c r="I62" s="84">
        <v>14900</v>
      </c>
      <c r="J62" s="84">
        <v>4410</v>
      </c>
      <c r="K62" s="85">
        <f t="shared" si="5"/>
        <v>20934.36</v>
      </c>
      <c r="L62" s="85">
        <v>16155.88</v>
      </c>
      <c r="M62" s="94">
        <v>4778.4799999999996</v>
      </c>
      <c r="N62" s="79" t="s">
        <v>50</v>
      </c>
      <c r="O62" s="79" t="s">
        <v>50</v>
      </c>
      <c r="P62" s="80" t="s">
        <v>50</v>
      </c>
      <c r="Q62" s="79" t="s">
        <v>50</v>
      </c>
      <c r="R62" s="79" t="s">
        <v>50</v>
      </c>
      <c r="S62" s="79" t="s">
        <v>50</v>
      </c>
      <c r="T62" s="79" t="s">
        <v>50</v>
      </c>
      <c r="U62" s="79" t="s">
        <v>50</v>
      </c>
      <c r="V62" s="79" t="s">
        <v>50</v>
      </c>
      <c r="W62" s="79" t="s">
        <v>50</v>
      </c>
      <c r="X62" s="79" t="s">
        <v>50</v>
      </c>
      <c r="Y62" s="79" t="s">
        <v>50</v>
      </c>
    </row>
    <row r="63" spans="1:25">
      <c r="A63" s="74"/>
      <c r="B63" s="92" t="s">
        <v>90</v>
      </c>
      <c r="C63" s="45" t="s">
        <v>91</v>
      </c>
      <c r="D63" s="45">
        <v>38</v>
      </c>
      <c r="E63" s="84">
        <f t="shared" si="8"/>
        <v>35</v>
      </c>
      <c r="F63" s="45">
        <v>25</v>
      </c>
      <c r="G63" s="45">
        <v>10</v>
      </c>
      <c r="H63" s="60">
        <f t="shared" si="2"/>
        <v>35</v>
      </c>
      <c r="I63" s="45">
        <v>25</v>
      </c>
      <c r="J63" s="45">
        <v>10</v>
      </c>
      <c r="K63" s="85">
        <f t="shared" si="5"/>
        <v>49</v>
      </c>
      <c r="L63" s="45">
        <v>35</v>
      </c>
      <c r="M63" s="45">
        <v>14</v>
      </c>
      <c r="N63" s="79"/>
      <c r="O63" s="41"/>
      <c r="P63" s="101"/>
      <c r="Q63" s="79"/>
      <c r="R63" s="41"/>
      <c r="S63" s="41"/>
      <c r="T63" s="79"/>
      <c r="U63" s="41"/>
      <c r="V63" s="41"/>
      <c r="W63" s="79"/>
      <c r="X63" s="41"/>
      <c r="Y63" s="41"/>
    </row>
    <row r="64" spans="1:25">
      <c r="A64" s="74"/>
      <c r="B64" s="92" t="s">
        <v>92</v>
      </c>
      <c r="C64" s="45" t="s">
        <v>93</v>
      </c>
      <c r="D64" s="77">
        <f>D62/D63/12*1000</f>
        <v>41229.342105263167</v>
      </c>
      <c r="E64" s="77">
        <f t="shared" ref="E64:M64" si="10">E62/E63/12*1000</f>
        <v>32183.622595238099</v>
      </c>
      <c r="F64" s="77">
        <f t="shared" si="10"/>
        <v>34772.397666666671</v>
      </c>
      <c r="G64" s="77">
        <f t="shared" si="10"/>
        <v>25711.684916666665</v>
      </c>
      <c r="H64" s="77">
        <f t="shared" si="10"/>
        <v>45976.190476190473</v>
      </c>
      <c r="I64" s="77">
        <f t="shared" si="10"/>
        <v>49666.666666666664</v>
      </c>
      <c r="J64" s="77">
        <f t="shared" si="10"/>
        <v>36750</v>
      </c>
      <c r="K64" s="77">
        <f t="shared" si="10"/>
        <v>35602.653061224497</v>
      </c>
      <c r="L64" s="77">
        <f t="shared" si="10"/>
        <v>38466.380952380954</v>
      </c>
      <c r="M64" s="77">
        <f t="shared" si="10"/>
        <v>28443.333333333332</v>
      </c>
      <c r="N64" s="79" t="s">
        <v>50</v>
      </c>
      <c r="O64" s="79" t="s">
        <v>50</v>
      </c>
      <c r="P64" s="80" t="s">
        <v>50</v>
      </c>
      <c r="Q64" s="79" t="s">
        <v>50</v>
      </c>
      <c r="R64" s="79" t="s">
        <v>50</v>
      </c>
      <c r="S64" s="79" t="s">
        <v>50</v>
      </c>
      <c r="T64" s="79" t="s">
        <v>50</v>
      </c>
      <c r="U64" s="79" t="s">
        <v>50</v>
      </c>
      <c r="V64" s="79" t="s">
        <v>50</v>
      </c>
      <c r="W64" s="79" t="s">
        <v>50</v>
      </c>
      <c r="X64" s="79" t="s">
        <v>50</v>
      </c>
      <c r="Y64" s="79" t="s">
        <v>50</v>
      </c>
    </row>
    <row r="65" spans="1:25" ht="31.5">
      <c r="A65" s="74"/>
      <c r="B65" s="102" t="s">
        <v>96</v>
      </c>
      <c r="C65" s="45" t="s">
        <v>47</v>
      </c>
      <c r="D65" s="45">
        <v>158.16</v>
      </c>
      <c r="E65" s="84">
        <f t="shared" si="8"/>
        <v>164.79899999999998</v>
      </c>
      <c r="F65" s="45">
        <v>68.424999999999997</v>
      </c>
      <c r="G65" s="45">
        <v>96.373999999999995</v>
      </c>
      <c r="H65" s="84">
        <f t="shared" si="2"/>
        <v>169.24857299999996</v>
      </c>
      <c r="I65" s="84">
        <f t="shared" ref="I65:J65" si="11">F65*$H$19</f>
        <v>70.272474999999986</v>
      </c>
      <c r="J65" s="84">
        <f t="shared" si="11"/>
        <v>98.976097999999993</v>
      </c>
      <c r="K65" s="85">
        <f t="shared" si="5"/>
        <v>535.30999999999995</v>
      </c>
      <c r="L65" s="85">
        <v>222.3</v>
      </c>
      <c r="M65" s="94">
        <v>313.01</v>
      </c>
      <c r="N65" s="79" t="s">
        <v>50</v>
      </c>
      <c r="O65" s="79" t="s">
        <v>50</v>
      </c>
      <c r="P65" s="80" t="s">
        <v>50</v>
      </c>
      <c r="Q65" s="79" t="s">
        <v>50</v>
      </c>
      <c r="R65" s="79" t="s">
        <v>50</v>
      </c>
      <c r="S65" s="79" t="s">
        <v>50</v>
      </c>
      <c r="T65" s="79" t="s">
        <v>50</v>
      </c>
      <c r="U65" s="79" t="s">
        <v>50</v>
      </c>
      <c r="V65" s="79" t="s">
        <v>50</v>
      </c>
      <c r="W65" s="79" t="s">
        <v>50</v>
      </c>
      <c r="X65" s="79" t="s">
        <v>50</v>
      </c>
      <c r="Y65" s="79" t="s">
        <v>50</v>
      </c>
    </row>
    <row r="66" spans="1:25">
      <c r="A66" s="74" t="s">
        <v>97</v>
      </c>
      <c r="B66" s="92" t="s">
        <v>98</v>
      </c>
      <c r="C66" s="45" t="s">
        <v>47</v>
      </c>
      <c r="D66" s="45">
        <v>4013.56</v>
      </c>
      <c r="E66" s="84">
        <f t="shared" si="8"/>
        <v>3659.05</v>
      </c>
      <c r="F66" s="77">
        <v>2823.84</v>
      </c>
      <c r="G66" s="77">
        <v>835.21</v>
      </c>
      <c r="H66" s="60">
        <f t="shared" si="2"/>
        <v>4120</v>
      </c>
      <c r="I66" s="103">
        <v>3180</v>
      </c>
      <c r="J66" s="103">
        <v>940</v>
      </c>
      <c r="K66" s="85">
        <f t="shared" si="5"/>
        <v>3161.78</v>
      </c>
      <c r="L66" s="85">
        <v>2440.0700000000002</v>
      </c>
      <c r="M66" s="94">
        <v>721.71</v>
      </c>
      <c r="N66" s="79" t="s">
        <v>50</v>
      </c>
      <c r="O66" s="79" t="s">
        <v>50</v>
      </c>
      <c r="P66" s="80" t="s">
        <v>50</v>
      </c>
      <c r="Q66" s="79" t="s">
        <v>50</v>
      </c>
      <c r="R66" s="79" t="s">
        <v>50</v>
      </c>
      <c r="S66" s="79" t="s">
        <v>50</v>
      </c>
      <c r="T66" s="79" t="s">
        <v>50</v>
      </c>
      <c r="U66" s="79" t="s">
        <v>50</v>
      </c>
      <c r="V66" s="79" t="s">
        <v>50</v>
      </c>
      <c r="W66" s="79" t="s">
        <v>50</v>
      </c>
      <c r="X66" s="79" t="s">
        <v>50</v>
      </c>
      <c r="Y66" s="79" t="s">
        <v>50</v>
      </c>
    </row>
    <row r="67" spans="1:25">
      <c r="A67" s="74"/>
      <c r="B67" s="92" t="s">
        <v>90</v>
      </c>
      <c r="C67" s="45" t="s">
        <v>91</v>
      </c>
      <c r="D67" s="45">
        <v>9</v>
      </c>
      <c r="E67" s="84">
        <f t="shared" si="8"/>
        <v>9</v>
      </c>
      <c r="F67" s="45">
        <v>6</v>
      </c>
      <c r="G67" s="45">
        <v>3</v>
      </c>
      <c r="H67" s="60">
        <f t="shared" si="2"/>
        <v>9</v>
      </c>
      <c r="I67" s="45">
        <v>6</v>
      </c>
      <c r="J67" s="45">
        <v>3</v>
      </c>
      <c r="K67" s="85">
        <f t="shared" si="5"/>
        <v>12</v>
      </c>
      <c r="L67" s="45">
        <v>8</v>
      </c>
      <c r="M67" s="45">
        <v>4</v>
      </c>
      <c r="N67" s="79"/>
      <c r="O67" s="41"/>
      <c r="P67" s="101"/>
      <c r="Q67" s="79"/>
      <c r="R67" s="41"/>
      <c r="S67" s="41"/>
      <c r="T67" s="79"/>
      <c r="U67" s="41"/>
      <c r="V67" s="41"/>
      <c r="W67" s="79"/>
      <c r="X67" s="41"/>
      <c r="Y67" s="41"/>
    </row>
    <row r="68" spans="1:25">
      <c r="A68" s="74"/>
      <c r="B68" s="92" t="s">
        <v>92</v>
      </c>
      <c r="C68" s="45" t="s">
        <v>93</v>
      </c>
      <c r="D68" s="77">
        <f>D66/D67/12*1000</f>
        <v>37162.592592592599</v>
      </c>
      <c r="E68" s="77">
        <f t="shared" ref="E68:M68" si="12">E66/E67/12*1000</f>
        <v>33880.092592592599</v>
      </c>
      <c r="F68" s="77">
        <f t="shared" si="12"/>
        <v>39220.000000000007</v>
      </c>
      <c r="G68" s="77">
        <f t="shared" si="12"/>
        <v>23200.277777777781</v>
      </c>
      <c r="H68" s="77">
        <f t="shared" si="12"/>
        <v>38148.148148148146</v>
      </c>
      <c r="I68" s="77">
        <f t="shared" si="12"/>
        <v>44166.666666666664</v>
      </c>
      <c r="J68" s="77">
        <f t="shared" si="12"/>
        <v>26111.111111111109</v>
      </c>
      <c r="K68" s="77">
        <f t="shared" si="12"/>
        <v>21956.805555555558</v>
      </c>
      <c r="L68" s="77">
        <f t="shared" si="12"/>
        <v>25417.395833333332</v>
      </c>
      <c r="M68" s="77">
        <f t="shared" si="12"/>
        <v>15035.625000000002</v>
      </c>
      <c r="N68" s="79" t="s">
        <v>50</v>
      </c>
      <c r="O68" s="79" t="s">
        <v>50</v>
      </c>
      <c r="P68" s="80" t="s">
        <v>50</v>
      </c>
      <c r="Q68" s="79" t="s">
        <v>50</v>
      </c>
      <c r="R68" s="79" t="s">
        <v>50</v>
      </c>
      <c r="S68" s="79" t="s">
        <v>50</v>
      </c>
      <c r="T68" s="79" t="s">
        <v>50</v>
      </c>
      <c r="U68" s="79" t="s">
        <v>50</v>
      </c>
      <c r="V68" s="79" t="s">
        <v>50</v>
      </c>
      <c r="W68" s="79" t="s">
        <v>50</v>
      </c>
      <c r="X68" s="79" t="s">
        <v>50</v>
      </c>
      <c r="Y68" s="79" t="s">
        <v>50</v>
      </c>
    </row>
    <row r="69" spans="1:25" ht="31.5">
      <c r="A69" s="74"/>
      <c r="B69" s="102" t="s">
        <v>96</v>
      </c>
      <c r="C69" s="45" t="s">
        <v>47</v>
      </c>
      <c r="D69" s="45">
        <v>39.76</v>
      </c>
      <c r="E69" s="84">
        <f t="shared" si="8"/>
        <v>28.478999999999999</v>
      </c>
      <c r="F69" s="77">
        <f>28.479/E62*F62</f>
        <v>21.978417088614922</v>
      </c>
      <c r="G69" s="77">
        <f>28.479-F69</f>
        <v>6.5005829113850773</v>
      </c>
      <c r="H69" s="84">
        <f t="shared" si="2"/>
        <v>29.247932999999996</v>
      </c>
      <c r="I69" s="84">
        <f t="shared" ref="I69:J69" si="13">F69*$H$19</f>
        <v>22.571834350007524</v>
      </c>
      <c r="J69" s="84">
        <f t="shared" si="13"/>
        <v>6.6760986499924737</v>
      </c>
      <c r="K69" s="85">
        <f t="shared" si="5"/>
        <v>69.069999999999993</v>
      </c>
      <c r="L69" s="85">
        <v>53.3</v>
      </c>
      <c r="M69" s="94">
        <v>15.77</v>
      </c>
      <c r="N69" s="79" t="s">
        <v>50</v>
      </c>
      <c r="O69" s="79" t="s">
        <v>50</v>
      </c>
      <c r="P69" s="80" t="s">
        <v>50</v>
      </c>
      <c r="Q69" s="79" t="s">
        <v>50</v>
      </c>
      <c r="R69" s="79" t="s">
        <v>50</v>
      </c>
      <c r="S69" s="79" t="s">
        <v>50</v>
      </c>
      <c r="T69" s="79" t="s">
        <v>50</v>
      </c>
      <c r="U69" s="79" t="s">
        <v>50</v>
      </c>
      <c r="V69" s="79" t="s">
        <v>50</v>
      </c>
      <c r="W69" s="79" t="s">
        <v>50</v>
      </c>
      <c r="X69" s="79" t="s">
        <v>50</v>
      </c>
      <c r="Y69" s="79" t="s">
        <v>50</v>
      </c>
    </row>
    <row r="70" spans="1:25">
      <c r="A70" s="74" t="s">
        <v>99</v>
      </c>
      <c r="B70" s="92" t="s">
        <v>100</v>
      </c>
      <c r="C70" s="45" t="s">
        <v>47</v>
      </c>
      <c r="D70" s="45">
        <v>11705.31</v>
      </c>
      <c r="E70" s="84">
        <f t="shared" si="8"/>
        <v>15618.02</v>
      </c>
      <c r="F70" s="45">
        <v>12053.07</v>
      </c>
      <c r="G70" s="45">
        <v>3564.95</v>
      </c>
      <c r="H70" s="84">
        <f t="shared" si="2"/>
        <v>12021.353369999997</v>
      </c>
      <c r="I70" s="104">
        <f>F70/E70*D70*H19</f>
        <v>9277.3740629955573</v>
      </c>
      <c r="J70" s="104">
        <f>G70/E70*D70*H19</f>
        <v>2743.9793070044402</v>
      </c>
      <c r="K70" s="85">
        <f t="shared" si="5"/>
        <v>18900.2</v>
      </c>
      <c r="L70" s="85">
        <v>14586.04</v>
      </c>
      <c r="M70" s="94">
        <v>4314.16</v>
      </c>
      <c r="N70" s="79" t="s">
        <v>50</v>
      </c>
      <c r="O70" s="79" t="s">
        <v>50</v>
      </c>
      <c r="P70" s="80" t="s">
        <v>50</v>
      </c>
      <c r="Q70" s="79" t="s">
        <v>50</v>
      </c>
      <c r="R70" s="79" t="s">
        <v>50</v>
      </c>
      <c r="S70" s="79" t="s">
        <v>50</v>
      </c>
      <c r="T70" s="79" t="s">
        <v>50</v>
      </c>
      <c r="U70" s="79" t="s">
        <v>50</v>
      </c>
      <c r="V70" s="79" t="s">
        <v>50</v>
      </c>
      <c r="W70" s="79" t="s">
        <v>50</v>
      </c>
      <c r="X70" s="79" t="s">
        <v>50</v>
      </c>
      <c r="Y70" s="79" t="s">
        <v>50</v>
      </c>
    </row>
    <row r="71" spans="1:25">
      <c r="A71" s="74"/>
      <c r="B71" s="92" t="s">
        <v>90</v>
      </c>
      <c r="C71" s="45" t="s">
        <v>91</v>
      </c>
      <c r="D71" s="45">
        <v>31</v>
      </c>
      <c r="E71" s="84">
        <f t="shared" si="8"/>
        <v>23</v>
      </c>
      <c r="F71" s="45">
        <v>16</v>
      </c>
      <c r="G71" s="45">
        <v>7</v>
      </c>
      <c r="H71" s="60">
        <f t="shared" si="2"/>
        <v>23</v>
      </c>
      <c r="I71" s="45">
        <v>16</v>
      </c>
      <c r="J71" s="45">
        <v>7</v>
      </c>
      <c r="K71" s="85">
        <f t="shared" si="5"/>
        <v>28</v>
      </c>
      <c r="L71" s="45">
        <v>19</v>
      </c>
      <c r="M71" s="45">
        <v>9</v>
      </c>
      <c r="N71" s="79"/>
      <c r="O71" s="41"/>
      <c r="P71" s="41"/>
      <c r="Q71" s="79"/>
      <c r="R71" s="41"/>
      <c r="S71" s="41"/>
      <c r="T71" s="79"/>
      <c r="U71" s="41"/>
      <c r="V71" s="41"/>
      <c r="W71" s="79"/>
      <c r="X71" s="41"/>
      <c r="Y71" s="41"/>
    </row>
    <row r="72" spans="1:25">
      <c r="A72" s="74"/>
      <c r="B72" s="92" t="s">
        <v>92</v>
      </c>
      <c r="C72" s="45" t="s">
        <v>93</v>
      </c>
      <c r="D72" s="77">
        <f>D70/D71/12*1000</f>
        <v>31465.887096774193</v>
      </c>
      <c r="E72" s="77">
        <f t="shared" ref="E72:M72" si="14">E70/E71/12*1000</f>
        <v>56587.028985507255</v>
      </c>
      <c r="F72" s="77">
        <f t="shared" si="14"/>
        <v>62776.40625</v>
      </c>
      <c r="G72" s="77">
        <f t="shared" si="14"/>
        <v>42439.880952380954</v>
      </c>
      <c r="H72" s="77">
        <f t="shared" si="14"/>
        <v>43555.6281521739</v>
      </c>
      <c r="I72" s="77">
        <f t="shared" si="14"/>
        <v>48319.656578101865</v>
      </c>
      <c r="J72" s="77">
        <f t="shared" si="14"/>
        <v>32666.420321481433</v>
      </c>
      <c r="K72" s="77">
        <f t="shared" si="14"/>
        <v>56250.595238095237</v>
      </c>
      <c r="L72" s="77">
        <f t="shared" si="14"/>
        <v>63973.859649122809</v>
      </c>
      <c r="M72" s="77">
        <f t="shared" si="14"/>
        <v>39945.925925925927</v>
      </c>
      <c r="N72" s="79" t="s">
        <v>50</v>
      </c>
      <c r="O72" s="79" t="s">
        <v>50</v>
      </c>
      <c r="P72" s="79" t="s">
        <v>50</v>
      </c>
      <c r="Q72" s="79" t="s">
        <v>50</v>
      </c>
      <c r="R72" s="79" t="s">
        <v>50</v>
      </c>
      <c r="S72" s="79" t="s">
        <v>50</v>
      </c>
      <c r="T72" s="79" t="s">
        <v>50</v>
      </c>
      <c r="U72" s="79" t="s">
        <v>50</v>
      </c>
      <c r="V72" s="79" t="s">
        <v>50</v>
      </c>
      <c r="W72" s="79" t="s">
        <v>50</v>
      </c>
      <c r="X72" s="79" t="s">
        <v>50</v>
      </c>
      <c r="Y72" s="79" t="s">
        <v>50</v>
      </c>
    </row>
    <row r="73" spans="1:25" ht="31.5">
      <c r="A73" s="74"/>
      <c r="B73" s="102" t="s">
        <v>96</v>
      </c>
      <c r="C73" s="45" t="s">
        <v>47</v>
      </c>
      <c r="D73" s="45">
        <v>165.36</v>
      </c>
      <c r="E73" s="84">
        <f t="shared" si="8"/>
        <v>196.15</v>
      </c>
      <c r="F73" s="45">
        <v>151.38</v>
      </c>
      <c r="G73" s="45">
        <v>44.77</v>
      </c>
      <c r="H73" s="84">
        <f t="shared" si="2"/>
        <v>201.44604999999999</v>
      </c>
      <c r="I73" s="84">
        <f t="shared" ref="I73:J75" si="15">F73*$H$19</f>
        <v>155.46725999999998</v>
      </c>
      <c r="J73" s="84">
        <f t="shared" si="15"/>
        <v>45.978789999999996</v>
      </c>
      <c r="K73" s="85">
        <f t="shared" si="5"/>
        <v>578.48</v>
      </c>
      <c r="L73" s="85">
        <v>446.44</v>
      </c>
      <c r="M73" s="94">
        <v>132.04</v>
      </c>
      <c r="N73" s="79" t="s">
        <v>50</v>
      </c>
      <c r="O73" s="79" t="s">
        <v>50</v>
      </c>
      <c r="P73" s="79" t="s">
        <v>50</v>
      </c>
      <c r="Q73" s="79" t="s">
        <v>50</v>
      </c>
      <c r="R73" s="79" t="s">
        <v>50</v>
      </c>
      <c r="S73" s="79" t="s">
        <v>50</v>
      </c>
      <c r="T73" s="79" t="s">
        <v>50</v>
      </c>
      <c r="U73" s="79" t="s">
        <v>50</v>
      </c>
      <c r="V73" s="79" t="s">
        <v>50</v>
      </c>
      <c r="W73" s="79" t="s">
        <v>50</v>
      </c>
      <c r="X73" s="79" t="s">
        <v>50</v>
      </c>
      <c r="Y73" s="79" t="s">
        <v>50</v>
      </c>
    </row>
    <row r="74" spans="1:25" ht="89.25" customHeight="1">
      <c r="A74" s="74" t="s">
        <v>101</v>
      </c>
      <c r="B74" s="92" t="s">
        <v>102</v>
      </c>
      <c r="C74" s="45" t="s">
        <v>47</v>
      </c>
      <c r="D74" s="45">
        <v>17948.900000000001</v>
      </c>
      <c r="E74" s="84">
        <f t="shared" si="8"/>
        <v>5543.4604799999997</v>
      </c>
      <c r="F74" s="76">
        <f>F75+F76</f>
        <v>1149.22648</v>
      </c>
      <c r="G74" s="76">
        <f>G75+G76</f>
        <v>4394.2339999999995</v>
      </c>
      <c r="H74" s="84">
        <f t="shared" si="2"/>
        <v>5693.1339129599992</v>
      </c>
      <c r="I74" s="84">
        <f t="shared" si="15"/>
        <v>1180.2555949599998</v>
      </c>
      <c r="J74" s="84">
        <f t="shared" si="15"/>
        <v>4512.8783179999991</v>
      </c>
      <c r="K74" s="85">
        <f t="shared" si="5"/>
        <v>7145.8777699999991</v>
      </c>
      <c r="L74" s="85">
        <f>L75+L76</f>
        <v>1207.14984</v>
      </c>
      <c r="M74" s="85">
        <f>M75+M76</f>
        <v>5938.7279299999991</v>
      </c>
      <c r="N74" s="79" t="s">
        <v>50</v>
      </c>
      <c r="O74" s="79" t="s">
        <v>50</v>
      </c>
      <c r="P74" s="79" t="s">
        <v>50</v>
      </c>
      <c r="Q74" s="79" t="s">
        <v>50</v>
      </c>
      <c r="R74" s="79" t="s">
        <v>50</v>
      </c>
      <c r="S74" s="79" t="s">
        <v>50</v>
      </c>
      <c r="T74" s="79" t="s">
        <v>50</v>
      </c>
      <c r="U74" s="79" t="s">
        <v>50</v>
      </c>
      <c r="V74" s="79" t="s">
        <v>50</v>
      </c>
      <c r="W74" s="79" t="s">
        <v>50</v>
      </c>
      <c r="X74" s="79" t="s">
        <v>50</v>
      </c>
      <c r="Y74" s="79" t="s">
        <v>50</v>
      </c>
    </row>
    <row r="75" spans="1:25" ht="47.25">
      <c r="A75" s="74" t="s">
        <v>103</v>
      </c>
      <c r="B75" s="92" t="s">
        <v>104</v>
      </c>
      <c r="C75" s="45" t="s">
        <v>47</v>
      </c>
      <c r="D75" s="45"/>
      <c r="E75" s="84">
        <f t="shared" si="8"/>
        <v>4854.9944799999994</v>
      </c>
      <c r="F75" s="77">
        <v>592.66048000000001</v>
      </c>
      <c r="G75" s="45">
        <v>4262.3339999999998</v>
      </c>
      <c r="H75" s="84">
        <f t="shared" si="2"/>
        <v>4986.0793309599994</v>
      </c>
      <c r="I75" s="84">
        <f t="shared" si="15"/>
        <v>608.66231296000001</v>
      </c>
      <c r="J75" s="84">
        <f t="shared" si="15"/>
        <v>4377.4170179999992</v>
      </c>
      <c r="K75" s="85">
        <f t="shared" si="5"/>
        <v>6548.043459999999</v>
      </c>
      <c r="L75" s="85">
        <f>'[2]Смета 2019'!$D$42</f>
        <v>697.23360000000002</v>
      </c>
      <c r="M75" s="94">
        <f>'[2]Смета 2019'!$F$42</f>
        <v>5850.8098599999994</v>
      </c>
      <c r="N75" s="79" t="s">
        <v>50</v>
      </c>
      <c r="O75" s="79" t="s">
        <v>50</v>
      </c>
      <c r="P75" s="79" t="s">
        <v>50</v>
      </c>
      <c r="Q75" s="79" t="s">
        <v>50</v>
      </c>
      <c r="R75" s="79" t="s">
        <v>50</v>
      </c>
      <c r="S75" s="79" t="s">
        <v>50</v>
      </c>
      <c r="T75" s="79" t="s">
        <v>50</v>
      </c>
      <c r="U75" s="79" t="s">
        <v>50</v>
      </c>
      <c r="V75" s="79" t="s">
        <v>50</v>
      </c>
      <c r="W75" s="79" t="s">
        <v>50</v>
      </c>
      <c r="X75" s="79" t="s">
        <v>50</v>
      </c>
      <c r="Y75" s="79" t="s">
        <v>50</v>
      </c>
    </row>
    <row r="76" spans="1:25" ht="31.5">
      <c r="A76" s="74" t="s">
        <v>105</v>
      </c>
      <c r="B76" s="92" t="s">
        <v>106</v>
      </c>
      <c r="C76" s="45" t="s">
        <v>47</v>
      </c>
      <c r="D76" s="45"/>
      <c r="E76" s="84">
        <f t="shared" si="8"/>
        <v>688.46600000000001</v>
      </c>
      <c r="F76" s="76">
        <f>F77+F78+F79+F81</f>
        <v>556.56600000000003</v>
      </c>
      <c r="G76" s="76">
        <f>G77+G78+G79+G81</f>
        <v>131.9</v>
      </c>
      <c r="H76" s="76">
        <f t="shared" ref="H76:J76" si="16">H77+H78+H79+H81</f>
        <v>707.05458199999987</v>
      </c>
      <c r="I76" s="76">
        <f t="shared" si="16"/>
        <v>571.59328199999993</v>
      </c>
      <c r="J76" s="76">
        <f t="shared" si="16"/>
        <v>135.46129999999999</v>
      </c>
      <c r="K76" s="85">
        <f t="shared" si="5"/>
        <v>597.83431000000007</v>
      </c>
      <c r="L76" s="85">
        <f>L77+L78+L79+L81+L80</f>
        <v>509.91624000000007</v>
      </c>
      <c r="M76" s="85">
        <f>M77+M78+M79+M81+M80</f>
        <v>87.918070000000014</v>
      </c>
      <c r="N76" s="79" t="s">
        <v>50</v>
      </c>
      <c r="O76" s="79" t="s">
        <v>50</v>
      </c>
      <c r="P76" s="79" t="s">
        <v>50</v>
      </c>
      <c r="Q76" s="79" t="s">
        <v>50</v>
      </c>
      <c r="R76" s="79" t="s">
        <v>50</v>
      </c>
      <c r="S76" s="79" t="s">
        <v>50</v>
      </c>
      <c r="T76" s="79" t="s">
        <v>50</v>
      </c>
      <c r="U76" s="79" t="s">
        <v>50</v>
      </c>
      <c r="V76" s="79" t="s">
        <v>50</v>
      </c>
      <c r="W76" s="79" t="s">
        <v>50</v>
      </c>
      <c r="X76" s="79" t="s">
        <v>50</v>
      </c>
      <c r="Y76" s="79" t="s">
        <v>50</v>
      </c>
    </row>
    <row r="77" spans="1:25" ht="30.75" hidden="1">
      <c r="A77" s="74"/>
      <c r="B77" s="105" t="s">
        <v>107</v>
      </c>
      <c r="C77" s="45"/>
      <c r="D77" s="45"/>
      <c r="E77" s="84">
        <f>F77+G77</f>
        <v>83</v>
      </c>
      <c r="F77" s="77">
        <v>83</v>
      </c>
      <c r="G77" s="45"/>
      <c r="H77" s="84">
        <f t="shared" si="2"/>
        <v>85.241</v>
      </c>
      <c r="I77" s="84">
        <f t="shared" ref="I77:J81" si="17">F77*$H$19</f>
        <v>85.241</v>
      </c>
      <c r="J77" s="84">
        <f t="shared" si="17"/>
        <v>0</v>
      </c>
      <c r="K77" s="85">
        <f t="shared" si="5"/>
        <v>103.2</v>
      </c>
      <c r="L77" s="85">
        <f>'[2]Смета 2019'!$D$55</f>
        <v>103.2</v>
      </c>
      <c r="M77" s="94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</row>
    <row r="78" spans="1:25" ht="45.75" hidden="1">
      <c r="A78" s="74"/>
      <c r="B78" s="105" t="s">
        <v>108</v>
      </c>
      <c r="C78" s="45"/>
      <c r="D78" s="45"/>
      <c r="E78" s="84">
        <f t="shared" ref="E78:E81" si="18">F78+G78</f>
        <v>272.5</v>
      </c>
      <c r="F78" s="77">
        <v>140.6</v>
      </c>
      <c r="G78" s="45">
        <v>131.9</v>
      </c>
      <c r="H78" s="84">
        <f t="shared" si="2"/>
        <v>279.85749999999996</v>
      </c>
      <c r="I78" s="84">
        <f t="shared" si="17"/>
        <v>144.39619999999999</v>
      </c>
      <c r="J78" s="84">
        <f t="shared" si="17"/>
        <v>135.46129999999999</v>
      </c>
      <c r="K78" s="85">
        <f t="shared" si="5"/>
        <v>199.04693</v>
      </c>
      <c r="L78" s="85">
        <f>'[2]Смета 2019'!$D$60</f>
        <v>174.84835000000001</v>
      </c>
      <c r="M78" s="94">
        <f>'[2]Смета 2019'!$F$60</f>
        <v>24.198580000000003</v>
      </c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</row>
    <row r="79" spans="1:25" ht="30" hidden="1">
      <c r="A79" s="74"/>
      <c r="B79" s="106" t="s">
        <v>109</v>
      </c>
      <c r="C79" s="45"/>
      <c r="D79" s="45"/>
      <c r="E79" s="84">
        <f t="shared" si="18"/>
        <v>155</v>
      </c>
      <c r="F79" s="77">
        <v>155</v>
      </c>
      <c r="G79" s="45"/>
      <c r="H79" s="84">
        <f t="shared" si="2"/>
        <v>159.18499999999997</v>
      </c>
      <c r="I79" s="84">
        <f t="shared" si="17"/>
        <v>159.18499999999997</v>
      </c>
      <c r="J79" s="84">
        <f t="shared" si="17"/>
        <v>0</v>
      </c>
      <c r="K79" s="85">
        <f t="shared" si="5"/>
        <v>90.566659999999999</v>
      </c>
      <c r="L79" s="85">
        <f>'[2]Смета 2019'!$D$56</f>
        <v>90.566659999999999</v>
      </c>
      <c r="M79" s="94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</row>
    <row r="80" spans="1:25" ht="30" hidden="1">
      <c r="A80" s="74"/>
      <c r="B80" s="106" t="s">
        <v>110</v>
      </c>
      <c r="C80" s="45"/>
      <c r="D80" s="45"/>
      <c r="E80" s="84"/>
      <c r="F80" s="77"/>
      <c r="G80" s="45"/>
      <c r="H80" s="84"/>
      <c r="I80" s="84"/>
      <c r="J80" s="84"/>
      <c r="K80" s="85">
        <f t="shared" si="5"/>
        <v>28.893299999999996</v>
      </c>
      <c r="L80" s="85">
        <f>'[2]Смета 2019'!$D$61</f>
        <v>28.893299999999996</v>
      </c>
      <c r="M80" s="94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</row>
    <row r="81" spans="1:25" hidden="1">
      <c r="A81" s="74"/>
      <c r="B81" s="106" t="s">
        <v>111</v>
      </c>
      <c r="C81" s="45"/>
      <c r="D81" s="45"/>
      <c r="E81" s="84">
        <f t="shared" si="18"/>
        <v>177.96600000000001</v>
      </c>
      <c r="F81" s="77">
        <v>177.96600000000001</v>
      </c>
      <c r="G81" s="45"/>
      <c r="H81" s="84">
        <f t="shared" si="2"/>
        <v>182.77108200000001</v>
      </c>
      <c r="I81" s="84">
        <f t="shared" si="17"/>
        <v>182.77108200000001</v>
      </c>
      <c r="J81" s="84">
        <f t="shared" si="17"/>
        <v>0</v>
      </c>
      <c r="K81" s="85">
        <f t="shared" si="5"/>
        <v>176.12742</v>
      </c>
      <c r="L81" s="85">
        <f>'[2]Смета 2019'!$D$48</f>
        <v>112.40792999999999</v>
      </c>
      <c r="M81" s="94">
        <f>'[2]Смета 2019'!$F$48</f>
        <v>63.719490000000008</v>
      </c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</row>
    <row r="82" spans="1:25" ht="63">
      <c r="A82" s="74" t="s">
        <v>112</v>
      </c>
      <c r="B82" s="92" t="s">
        <v>113</v>
      </c>
      <c r="C82" s="45" t="s">
        <v>47</v>
      </c>
      <c r="D82" s="45">
        <v>2130.84</v>
      </c>
      <c r="E82" s="93">
        <f t="shared" si="8"/>
        <v>2657.7498999999998</v>
      </c>
      <c r="F82" s="77">
        <f>F83+F84+F89+F93+F96+F103</f>
        <v>2365.6158999999998</v>
      </c>
      <c r="G82" s="77">
        <f>G83+G84+G89+G93+G96+G103</f>
        <v>292.13400000000001</v>
      </c>
      <c r="H82" s="77">
        <f t="shared" ref="H82:J82" si="19">H83+H84+H89+H93+H96+H103</f>
        <v>2729.5091472999998</v>
      </c>
      <c r="I82" s="77">
        <f t="shared" si="19"/>
        <v>2429.4875292999996</v>
      </c>
      <c r="J82" s="77">
        <f t="shared" si="19"/>
        <v>300.02161799999999</v>
      </c>
      <c r="K82" s="85">
        <f>L82+M82</f>
        <v>4076.8695979430004</v>
      </c>
      <c r="L82" s="85">
        <f>L83+L84+L89+L93+L96+L103</f>
        <v>3424.5246779430004</v>
      </c>
      <c r="M82" s="85">
        <f>M83+M84+M89+M93+M96+M103</f>
        <v>652.34492</v>
      </c>
      <c r="N82" s="79" t="s">
        <v>50</v>
      </c>
      <c r="O82" s="79" t="s">
        <v>50</v>
      </c>
      <c r="P82" s="79" t="s">
        <v>50</v>
      </c>
      <c r="Q82" s="79" t="s">
        <v>50</v>
      </c>
      <c r="R82" s="79" t="s">
        <v>50</v>
      </c>
      <c r="S82" s="79" t="s">
        <v>50</v>
      </c>
      <c r="T82" s="79" t="s">
        <v>50</v>
      </c>
      <c r="U82" s="79" t="s">
        <v>50</v>
      </c>
      <c r="V82" s="79" t="s">
        <v>50</v>
      </c>
      <c r="W82" s="79" t="s">
        <v>50</v>
      </c>
      <c r="X82" s="79" t="s">
        <v>50</v>
      </c>
      <c r="Y82" s="79" t="s">
        <v>50</v>
      </c>
    </row>
    <row r="83" spans="1:25" ht="31.5">
      <c r="A83" s="74" t="s">
        <v>114</v>
      </c>
      <c r="B83" s="107" t="s">
        <v>115</v>
      </c>
      <c r="C83" s="45"/>
      <c r="D83" s="45"/>
      <c r="E83" s="84">
        <f t="shared" si="8"/>
        <v>4.6870000000000003</v>
      </c>
      <c r="F83" s="45"/>
      <c r="G83" s="45">
        <v>4.6870000000000003</v>
      </c>
      <c r="H83" s="84">
        <f t="shared" si="2"/>
        <v>4.8135490000000001</v>
      </c>
      <c r="I83" s="84">
        <f t="shared" ref="I83:J83" si="20">F83*$H$19</f>
        <v>0</v>
      </c>
      <c r="J83" s="84">
        <f t="shared" si="20"/>
        <v>4.8135490000000001</v>
      </c>
      <c r="K83" s="85">
        <f t="shared" si="5"/>
        <v>4.6870000000000003</v>
      </c>
      <c r="L83" s="85"/>
      <c r="M83" s="45">
        <v>4.6870000000000003</v>
      </c>
      <c r="N83" s="79" t="s">
        <v>50</v>
      </c>
      <c r="O83" s="79" t="s">
        <v>50</v>
      </c>
      <c r="P83" s="79" t="s">
        <v>50</v>
      </c>
      <c r="Q83" s="79" t="s">
        <v>50</v>
      </c>
      <c r="R83" s="79" t="s">
        <v>50</v>
      </c>
      <c r="S83" s="79" t="s">
        <v>50</v>
      </c>
      <c r="T83" s="79" t="s">
        <v>50</v>
      </c>
      <c r="U83" s="79" t="s">
        <v>50</v>
      </c>
      <c r="V83" s="79" t="s">
        <v>50</v>
      </c>
      <c r="W83" s="79" t="s">
        <v>50</v>
      </c>
      <c r="X83" s="79" t="s">
        <v>50</v>
      </c>
      <c r="Y83" s="79" t="s">
        <v>50</v>
      </c>
    </row>
    <row r="84" spans="1:25" ht="31.5">
      <c r="A84" s="74" t="s">
        <v>116</v>
      </c>
      <c r="B84" s="107" t="s">
        <v>117</v>
      </c>
      <c r="C84" s="45"/>
      <c r="D84" s="45"/>
      <c r="E84" s="84">
        <f t="shared" si="8"/>
        <v>208.94399999999999</v>
      </c>
      <c r="F84" s="45">
        <f>F85+F86+F87</f>
        <v>161.25</v>
      </c>
      <c r="G84" s="45">
        <f>G85+G86+G87</f>
        <v>47.693999999999996</v>
      </c>
      <c r="H84" s="77">
        <f t="shared" ref="H84:J84" si="21">H85+H86+H87</f>
        <v>214.585488</v>
      </c>
      <c r="I84" s="77">
        <f t="shared" si="21"/>
        <v>165.60374999999999</v>
      </c>
      <c r="J84" s="77">
        <f t="shared" si="21"/>
        <v>48.981738</v>
      </c>
      <c r="K84" s="85">
        <f>L84+M84</f>
        <v>1780.9857999999999</v>
      </c>
      <c r="L84" s="85">
        <f>L85+L86+L87+L88</f>
        <v>1715.0447999999999</v>
      </c>
      <c r="M84" s="85">
        <f>M85+M86+M87+M88</f>
        <v>65.941000000000003</v>
      </c>
      <c r="N84" s="79" t="s">
        <v>50</v>
      </c>
      <c r="O84" s="79" t="s">
        <v>50</v>
      </c>
      <c r="P84" s="79" t="s">
        <v>50</v>
      </c>
      <c r="Q84" s="79" t="s">
        <v>50</v>
      </c>
      <c r="R84" s="79" t="s">
        <v>50</v>
      </c>
      <c r="S84" s="79" t="s">
        <v>50</v>
      </c>
      <c r="T84" s="79" t="s">
        <v>50</v>
      </c>
      <c r="U84" s="79" t="s">
        <v>50</v>
      </c>
      <c r="V84" s="79" t="s">
        <v>50</v>
      </c>
      <c r="W84" s="79" t="s">
        <v>50</v>
      </c>
      <c r="X84" s="79" t="s">
        <v>50</v>
      </c>
      <c r="Y84" s="79" t="s">
        <v>50</v>
      </c>
    </row>
    <row r="85" spans="1:25" ht="60" hidden="1">
      <c r="A85" s="74"/>
      <c r="B85" s="108" t="s">
        <v>118</v>
      </c>
      <c r="C85" s="45"/>
      <c r="D85" s="45"/>
      <c r="E85" s="84">
        <f t="shared" si="8"/>
        <v>27</v>
      </c>
      <c r="F85" s="45">
        <v>20.84</v>
      </c>
      <c r="G85" s="45">
        <v>6.16</v>
      </c>
      <c r="H85" s="60">
        <f t="shared" si="2"/>
        <v>27.728999999999996</v>
      </c>
      <c r="I85" s="84">
        <f t="shared" ref="I85:J87" si="22">F85*$H$19</f>
        <v>21.402679999999997</v>
      </c>
      <c r="J85" s="84">
        <f t="shared" si="22"/>
        <v>6.3263199999999999</v>
      </c>
      <c r="K85" s="85">
        <f t="shared" si="5"/>
        <v>31.570999999999998</v>
      </c>
      <c r="L85" s="85">
        <v>24.364999999999998</v>
      </c>
      <c r="M85" s="94">
        <v>7.2060000000000004</v>
      </c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</row>
    <row r="86" spans="1:25" ht="60.75" hidden="1">
      <c r="A86" s="74"/>
      <c r="B86" s="109" t="s">
        <v>119</v>
      </c>
      <c r="C86" s="45"/>
      <c r="D86" s="45"/>
      <c r="E86" s="84">
        <f t="shared" si="8"/>
        <v>169.94400000000002</v>
      </c>
      <c r="F86" s="45">
        <v>131.15</v>
      </c>
      <c r="G86" s="45">
        <v>38.793999999999997</v>
      </c>
      <c r="H86" s="84">
        <f t="shared" si="2"/>
        <v>174.532488</v>
      </c>
      <c r="I86" s="84">
        <f t="shared" si="22"/>
        <v>134.69104999999999</v>
      </c>
      <c r="J86" s="84">
        <f t="shared" si="22"/>
        <v>39.841437999999997</v>
      </c>
      <c r="K86" s="85">
        <f t="shared" si="5"/>
        <v>241.32400000000001</v>
      </c>
      <c r="L86" s="85">
        <v>186.239</v>
      </c>
      <c r="M86" s="94">
        <v>55.085000000000001</v>
      </c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</row>
    <row r="87" spans="1:25" ht="45.75" hidden="1">
      <c r="A87" s="74"/>
      <c r="B87" s="109" t="s">
        <v>120</v>
      </c>
      <c r="C87" s="45"/>
      <c r="D87" s="45"/>
      <c r="E87" s="84">
        <f t="shared" si="8"/>
        <v>12</v>
      </c>
      <c r="F87" s="45">
        <v>9.26</v>
      </c>
      <c r="G87" s="45">
        <v>2.74</v>
      </c>
      <c r="H87" s="60">
        <f t="shared" si="2"/>
        <v>12.323999999999998</v>
      </c>
      <c r="I87" s="84">
        <f t="shared" si="22"/>
        <v>9.510019999999999</v>
      </c>
      <c r="J87" s="84">
        <f t="shared" si="22"/>
        <v>2.8139799999999999</v>
      </c>
      <c r="K87" s="85">
        <f t="shared" si="5"/>
        <v>16</v>
      </c>
      <c r="L87" s="85">
        <v>12.35</v>
      </c>
      <c r="M87" s="94">
        <v>3.65</v>
      </c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</row>
    <row r="88" spans="1:25" ht="30.75" hidden="1">
      <c r="A88" s="74"/>
      <c r="B88" s="109" t="s">
        <v>121</v>
      </c>
      <c r="C88" s="45"/>
      <c r="D88" s="45"/>
      <c r="E88" s="84"/>
      <c r="F88" s="45"/>
      <c r="G88" s="45"/>
      <c r="H88" s="60"/>
      <c r="I88" s="84"/>
      <c r="J88" s="84"/>
      <c r="K88" s="85">
        <f t="shared" si="5"/>
        <v>1492.0907999999999</v>
      </c>
      <c r="L88" s="85">
        <f>'[2]Смета 2019'!$H$193</f>
        <v>1492.0907999999999</v>
      </c>
      <c r="M88" s="94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</row>
    <row r="89" spans="1:25" ht="31.5">
      <c r="A89" s="74" t="s">
        <v>122</v>
      </c>
      <c r="B89" s="107" t="s">
        <v>123</v>
      </c>
      <c r="C89" s="45"/>
      <c r="D89" s="45"/>
      <c r="E89" s="84">
        <f t="shared" si="8"/>
        <v>21.687899999999999</v>
      </c>
      <c r="F89" s="45">
        <f>F90+F91</f>
        <v>21.687899999999999</v>
      </c>
      <c r="G89" s="45">
        <f>G90+G91</f>
        <v>0</v>
      </c>
      <c r="H89" s="77">
        <f t="shared" ref="H89:J89" si="23">H90+H91</f>
        <v>22.273473299999999</v>
      </c>
      <c r="I89" s="77">
        <f t="shared" si="23"/>
        <v>22.273473299999999</v>
      </c>
      <c r="J89" s="45">
        <f t="shared" si="23"/>
        <v>0</v>
      </c>
      <c r="K89" s="85">
        <f t="shared" si="5"/>
        <v>12.13616038</v>
      </c>
      <c r="L89" s="85">
        <f>L90+L91+L92</f>
        <v>10.88616038</v>
      </c>
      <c r="M89" s="85">
        <f>M90+M91+M92</f>
        <v>1.25</v>
      </c>
      <c r="N89" s="79" t="s">
        <v>50</v>
      </c>
      <c r="O89" s="79" t="s">
        <v>50</v>
      </c>
      <c r="P89" s="79" t="s">
        <v>50</v>
      </c>
      <c r="Q89" s="79" t="s">
        <v>50</v>
      </c>
      <c r="R89" s="79" t="s">
        <v>50</v>
      </c>
      <c r="S89" s="79" t="s">
        <v>50</v>
      </c>
      <c r="T89" s="79" t="s">
        <v>50</v>
      </c>
      <c r="U89" s="79" t="s">
        <v>50</v>
      </c>
      <c r="V89" s="79" t="s">
        <v>50</v>
      </c>
      <c r="W89" s="79" t="s">
        <v>50</v>
      </c>
      <c r="X89" s="79" t="s">
        <v>50</v>
      </c>
      <c r="Y89" s="79" t="s">
        <v>50</v>
      </c>
    </row>
    <row r="90" spans="1:25" ht="30.75" hidden="1">
      <c r="A90" s="74"/>
      <c r="B90" s="105" t="s">
        <v>124</v>
      </c>
      <c r="C90" s="45"/>
      <c r="D90" s="45"/>
      <c r="E90" s="84">
        <f t="shared" si="8"/>
        <v>16.381990000000002</v>
      </c>
      <c r="F90" s="77">
        <v>16.381990000000002</v>
      </c>
      <c r="G90" s="45"/>
      <c r="H90" s="84">
        <f t="shared" si="2"/>
        <v>16.82430373</v>
      </c>
      <c r="I90" s="84">
        <f t="shared" ref="I90:J91" si="24">F90*$H$19</f>
        <v>16.82430373</v>
      </c>
      <c r="J90" s="84">
        <f t="shared" si="24"/>
        <v>0</v>
      </c>
      <c r="K90" s="85">
        <f t="shared" si="5"/>
        <v>4.93875112</v>
      </c>
      <c r="L90" s="85">
        <f>'[2]Смета 2019'!$D$140</f>
        <v>4.93875112</v>
      </c>
      <c r="M90" s="94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</row>
    <row r="91" spans="1:25" ht="30.75" hidden="1">
      <c r="A91" s="74"/>
      <c r="B91" s="105" t="s">
        <v>125</v>
      </c>
      <c r="C91" s="45"/>
      <c r="D91" s="45"/>
      <c r="E91" s="84">
        <f t="shared" si="8"/>
        <v>5.305909999999999</v>
      </c>
      <c r="F91" s="77">
        <v>5.305909999999999</v>
      </c>
      <c r="G91" s="45"/>
      <c r="H91" s="84">
        <f t="shared" si="2"/>
        <v>5.4491695699999987</v>
      </c>
      <c r="I91" s="84">
        <f t="shared" si="24"/>
        <v>5.4491695699999987</v>
      </c>
      <c r="J91" s="84">
        <f t="shared" si="24"/>
        <v>0</v>
      </c>
      <c r="K91" s="85">
        <f t="shared" si="5"/>
        <v>1.7274092600000002</v>
      </c>
      <c r="L91" s="85">
        <f>'[2]Смета 2019'!$D$141</f>
        <v>1.7274092600000002</v>
      </c>
      <c r="M91" s="94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</row>
    <row r="92" spans="1:25" hidden="1">
      <c r="A92" s="74"/>
      <c r="B92" s="105" t="s">
        <v>126</v>
      </c>
      <c r="C92" s="45"/>
      <c r="D92" s="45"/>
      <c r="E92" s="84"/>
      <c r="F92" s="77"/>
      <c r="G92" s="45"/>
      <c r="H92" s="84"/>
      <c r="I92" s="84"/>
      <c r="J92" s="84"/>
      <c r="K92" s="85">
        <f t="shared" si="5"/>
        <v>5.47</v>
      </c>
      <c r="L92" s="85">
        <v>4.22</v>
      </c>
      <c r="M92" s="94">
        <v>1.25</v>
      </c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</row>
    <row r="93" spans="1:25" ht="84" customHeight="1">
      <c r="A93" s="74" t="s">
        <v>127</v>
      </c>
      <c r="B93" s="107" t="s">
        <v>128</v>
      </c>
      <c r="C93" s="45"/>
      <c r="D93" s="45"/>
      <c r="E93" s="84">
        <f t="shared" si="8"/>
        <v>31.990000000000002</v>
      </c>
      <c r="F93" s="84">
        <f>F94+F95</f>
        <v>24.66</v>
      </c>
      <c r="G93" s="84">
        <f>G94+G95</f>
        <v>7.33</v>
      </c>
      <c r="H93" s="84">
        <f t="shared" si="2"/>
        <v>32.853729999999999</v>
      </c>
      <c r="I93" s="84">
        <f>I94+I95</f>
        <v>25.325819999999997</v>
      </c>
      <c r="J93" s="84">
        <f>J94+J95</f>
        <v>7.5279099999999994</v>
      </c>
      <c r="K93" s="85">
        <f t="shared" si="5"/>
        <v>105.44</v>
      </c>
      <c r="L93" s="85">
        <f>L94+L95</f>
        <v>81.37</v>
      </c>
      <c r="M93" s="85">
        <f>M94+M95</f>
        <v>24.07</v>
      </c>
      <c r="N93" s="79" t="s">
        <v>50</v>
      </c>
      <c r="O93" s="79" t="s">
        <v>50</v>
      </c>
      <c r="P93" s="79" t="s">
        <v>50</v>
      </c>
      <c r="Q93" s="79" t="s">
        <v>50</v>
      </c>
      <c r="R93" s="79" t="s">
        <v>50</v>
      </c>
      <c r="S93" s="79" t="s">
        <v>50</v>
      </c>
      <c r="T93" s="79" t="s">
        <v>50</v>
      </c>
      <c r="U93" s="79" t="s">
        <v>50</v>
      </c>
      <c r="V93" s="79" t="s">
        <v>50</v>
      </c>
      <c r="W93" s="79" t="s">
        <v>50</v>
      </c>
      <c r="X93" s="79" t="s">
        <v>50</v>
      </c>
      <c r="Y93" s="79" t="s">
        <v>50</v>
      </c>
    </row>
    <row r="94" spans="1:25" ht="30.75" hidden="1">
      <c r="A94" s="74"/>
      <c r="B94" s="110" t="s">
        <v>129</v>
      </c>
      <c r="C94" s="45"/>
      <c r="D94" s="45"/>
      <c r="E94" s="84">
        <f t="shared" si="8"/>
        <v>0.04</v>
      </c>
      <c r="F94" s="45">
        <v>0.03</v>
      </c>
      <c r="G94" s="45">
        <v>0.01</v>
      </c>
      <c r="H94" s="60">
        <f t="shared" si="2"/>
        <v>4.1079999999999998E-2</v>
      </c>
      <c r="I94" s="84">
        <f t="shared" ref="I94:J95" si="25">F94*$H$19</f>
        <v>3.0809999999999997E-2</v>
      </c>
      <c r="J94" s="84">
        <f t="shared" si="25"/>
        <v>1.027E-2</v>
      </c>
      <c r="K94" s="85">
        <f t="shared" si="5"/>
        <v>0</v>
      </c>
      <c r="L94" s="85"/>
      <c r="M94" s="94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</row>
    <row r="95" spans="1:25" hidden="1">
      <c r="A95" s="74"/>
      <c r="B95" s="111" t="s">
        <v>130</v>
      </c>
      <c r="C95" s="45"/>
      <c r="D95" s="45"/>
      <c r="E95" s="84">
        <f t="shared" si="8"/>
        <v>31.95</v>
      </c>
      <c r="F95" s="45">
        <v>24.63</v>
      </c>
      <c r="G95" s="45">
        <v>7.32</v>
      </c>
      <c r="H95" s="84">
        <f t="shared" si="2"/>
        <v>32.812649999999998</v>
      </c>
      <c r="I95" s="84">
        <f t="shared" si="25"/>
        <v>25.295009999999998</v>
      </c>
      <c r="J95" s="84">
        <f t="shared" si="25"/>
        <v>7.5176399999999992</v>
      </c>
      <c r="K95" s="85">
        <f t="shared" si="5"/>
        <v>105.44</v>
      </c>
      <c r="L95" s="85">
        <v>81.37</v>
      </c>
      <c r="M95" s="94">
        <v>24.07</v>
      </c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</row>
    <row r="96" spans="1:25" ht="31.5">
      <c r="A96" s="74" t="s">
        <v>131</v>
      </c>
      <c r="B96" s="107" t="s">
        <v>132</v>
      </c>
      <c r="C96" s="45"/>
      <c r="D96" s="45"/>
      <c r="E96" s="84">
        <f>F96+G96</f>
        <v>1130.1500000000001</v>
      </c>
      <c r="F96" s="45">
        <f>F97+F111+F115+F116+F98</f>
        <v>1090.2470000000001</v>
      </c>
      <c r="G96" s="45">
        <f>G97+G111+G115+G116+G98</f>
        <v>39.902999999999999</v>
      </c>
      <c r="H96" s="77">
        <f t="shared" ref="H96:J96" si="26">H97+H111+H115+H116+H98</f>
        <v>1160.6640499999999</v>
      </c>
      <c r="I96" s="77">
        <f t="shared" si="26"/>
        <v>1119.6836689999998</v>
      </c>
      <c r="J96" s="77">
        <f t="shared" si="26"/>
        <v>40.980380999999994</v>
      </c>
      <c r="K96" s="85">
        <f t="shared" si="5"/>
        <v>478.18707996300003</v>
      </c>
      <c r="L96" s="85">
        <f>L97+L98+L99+L100+L101+L102</f>
        <v>141.84015996300002</v>
      </c>
      <c r="M96" s="85">
        <f>M97+M98+M99+M100+M101+M102</f>
        <v>336.34692000000001</v>
      </c>
      <c r="N96" s="79" t="s">
        <v>50</v>
      </c>
      <c r="O96" s="79" t="s">
        <v>50</v>
      </c>
      <c r="P96" s="79" t="s">
        <v>50</v>
      </c>
      <c r="Q96" s="79" t="s">
        <v>50</v>
      </c>
      <c r="R96" s="79" t="s">
        <v>50</v>
      </c>
      <c r="S96" s="79" t="s">
        <v>50</v>
      </c>
      <c r="T96" s="79" t="s">
        <v>50</v>
      </c>
      <c r="U96" s="79" t="s">
        <v>50</v>
      </c>
      <c r="V96" s="79" t="s">
        <v>50</v>
      </c>
      <c r="W96" s="79" t="s">
        <v>50</v>
      </c>
      <c r="X96" s="79" t="s">
        <v>50</v>
      </c>
      <c r="Y96" s="79" t="s">
        <v>50</v>
      </c>
    </row>
    <row r="97" spans="1:25" ht="30.75" hidden="1">
      <c r="A97" s="74"/>
      <c r="B97" s="110" t="s">
        <v>133</v>
      </c>
      <c r="C97" s="45"/>
      <c r="D97" s="45"/>
      <c r="E97" s="84">
        <f t="shared" ref="E97:E98" si="27">F97+G97</f>
        <v>282.24</v>
      </c>
      <c r="F97" s="45">
        <v>282.24</v>
      </c>
      <c r="G97" s="45"/>
      <c r="H97" s="84">
        <f t="shared" si="2"/>
        <v>289.86048</v>
      </c>
      <c r="I97" s="84">
        <f t="shared" ref="I97:J98" si="28">F97*$H$19</f>
        <v>289.86048</v>
      </c>
      <c r="J97" s="84">
        <f t="shared" si="28"/>
        <v>0</v>
      </c>
      <c r="K97" s="85">
        <f t="shared" si="5"/>
        <v>336.34692000000001</v>
      </c>
      <c r="L97" s="85">
        <f>'[2]Смета 2019'!$D$133</f>
        <v>0</v>
      </c>
      <c r="M97" s="94">
        <f>'[2]Смета 2019'!$F$133</f>
        <v>336.34692000000001</v>
      </c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</row>
    <row r="98" spans="1:25" ht="30" hidden="1">
      <c r="A98" s="74"/>
      <c r="B98" s="111" t="s">
        <v>134</v>
      </c>
      <c r="C98" s="45"/>
      <c r="D98" s="45"/>
      <c r="E98" s="84">
        <f t="shared" si="27"/>
        <v>3.2480000000000002</v>
      </c>
      <c r="F98" s="77">
        <v>2.508</v>
      </c>
      <c r="G98" s="45">
        <v>0.74</v>
      </c>
      <c r="H98" s="84">
        <f t="shared" si="2"/>
        <v>3.3356959999999996</v>
      </c>
      <c r="I98" s="84">
        <f t="shared" si="28"/>
        <v>2.5757159999999999</v>
      </c>
      <c r="J98" s="84">
        <f t="shared" si="28"/>
        <v>0.75997999999999988</v>
      </c>
      <c r="K98" s="85">
        <f t="shared" si="5"/>
        <v>0</v>
      </c>
      <c r="L98" s="85"/>
      <c r="M98" s="94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</row>
    <row r="99" spans="1:25" ht="45" hidden="1">
      <c r="A99" s="74"/>
      <c r="B99" s="111" t="s">
        <v>135</v>
      </c>
      <c r="C99" s="45"/>
      <c r="D99" s="45"/>
      <c r="E99" s="84"/>
      <c r="F99" s="77"/>
      <c r="G99" s="45"/>
      <c r="H99" s="84"/>
      <c r="I99" s="84"/>
      <c r="J99" s="84"/>
      <c r="K99" s="85">
        <f t="shared" si="5"/>
        <v>3.3664199999999997</v>
      </c>
      <c r="L99" s="85">
        <f>'[2]Смета 2019'!$D$136</f>
        <v>3.3664199999999997</v>
      </c>
      <c r="M99" s="94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</row>
    <row r="100" spans="1:25" ht="45" hidden="1">
      <c r="A100" s="74"/>
      <c r="B100" s="111" t="s">
        <v>136</v>
      </c>
      <c r="C100" s="45"/>
      <c r="D100" s="45"/>
      <c r="E100" s="84"/>
      <c r="F100" s="77"/>
      <c r="G100" s="45"/>
      <c r="H100" s="84"/>
      <c r="I100" s="84"/>
      <c r="J100" s="84"/>
      <c r="K100" s="85">
        <f t="shared" si="5"/>
        <v>101.22018</v>
      </c>
      <c r="L100" s="85">
        <f>'[2]Смета 2019'!$D$137</f>
        <v>101.22018</v>
      </c>
      <c r="M100" s="94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</row>
    <row r="101" spans="1:25" ht="60" hidden="1">
      <c r="A101" s="74"/>
      <c r="B101" s="111" t="s">
        <v>137</v>
      </c>
      <c r="C101" s="45"/>
      <c r="D101" s="45"/>
      <c r="E101" s="84"/>
      <c r="F101" s="77"/>
      <c r="G101" s="45"/>
      <c r="H101" s="84"/>
      <c r="I101" s="84"/>
      <c r="J101" s="84"/>
      <c r="K101" s="85">
        <f t="shared" si="5"/>
        <v>37.205739962999999</v>
      </c>
      <c r="L101" s="85">
        <v>37.205739962999999</v>
      </c>
      <c r="M101" s="94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</row>
    <row r="102" spans="1:25" ht="60" hidden="1">
      <c r="A102" s="74"/>
      <c r="B102" s="111" t="s">
        <v>138</v>
      </c>
      <c r="C102" s="45"/>
      <c r="D102" s="45"/>
      <c r="E102" s="84"/>
      <c r="F102" s="77"/>
      <c r="G102" s="45"/>
      <c r="H102" s="84"/>
      <c r="I102" s="84"/>
      <c r="J102" s="84"/>
      <c r="K102" s="85">
        <f t="shared" si="5"/>
        <v>4.7820000000000001E-2</v>
      </c>
      <c r="L102" s="85">
        <v>4.7820000000000001E-2</v>
      </c>
      <c r="M102" s="94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</row>
    <row r="103" spans="1:25">
      <c r="A103" s="74" t="s">
        <v>139</v>
      </c>
      <c r="B103" s="107" t="s">
        <v>140</v>
      </c>
      <c r="C103" s="45"/>
      <c r="D103" s="45"/>
      <c r="E103" s="84">
        <f>E104+E105</f>
        <v>1260.2909999999999</v>
      </c>
      <c r="F103" s="84">
        <f t="shared" ref="F103:G103" si="29">F104+F105</f>
        <v>1067.771</v>
      </c>
      <c r="G103" s="84">
        <f t="shared" si="29"/>
        <v>192.52</v>
      </c>
      <c r="H103" s="84">
        <f t="shared" si="2"/>
        <v>1294.318857</v>
      </c>
      <c r="I103" s="84">
        <f>I104+I105</f>
        <v>1096.600817</v>
      </c>
      <c r="J103" s="84">
        <f>J104+J105</f>
        <v>197.71804</v>
      </c>
      <c r="K103" s="85">
        <f t="shared" si="5"/>
        <v>1695.4335576000001</v>
      </c>
      <c r="L103" s="85">
        <f>L104+L105</f>
        <v>1475.3835576000001</v>
      </c>
      <c r="M103" s="85">
        <f>M104+M105</f>
        <v>220.05</v>
      </c>
      <c r="N103" s="79" t="s">
        <v>50</v>
      </c>
      <c r="O103" s="79" t="s">
        <v>50</v>
      </c>
      <c r="P103" s="79" t="s">
        <v>50</v>
      </c>
      <c r="Q103" s="79" t="s">
        <v>50</v>
      </c>
      <c r="R103" s="79" t="s">
        <v>50</v>
      </c>
      <c r="S103" s="79" t="s">
        <v>50</v>
      </c>
      <c r="T103" s="79" t="s">
        <v>50</v>
      </c>
      <c r="U103" s="79" t="s">
        <v>50</v>
      </c>
      <c r="V103" s="79" t="s">
        <v>50</v>
      </c>
      <c r="W103" s="79" t="s">
        <v>50</v>
      </c>
      <c r="X103" s="79" t="s">
        <v>50</v>
      </c>
      <c r="Y103" s="79" t="s">
        <v>50</v>
      </c>
    </row>
    <row r="104" spans="1:25" ht="31.5" hidden="1">
      <c r="A104" s="74"/>
      <c r="B104" s="112" t="s">
        <v>141</v>
      </c>
      <c r="C104" s="45"/>
      <c r="D104" s="45"/>
      <c r="E104" s="84">
        <f t="shared" si="8"/>
        <v>416.87099999999998</v>
      </c>
      <c r="F104" s="45">
        <v>416.87099999999998</v>
      </c>
      <c r="G104" s="45"/>
      <c r="H104" s="84">
        <f t="shared" si="2"/>
        <v>428.12651699999992</v>
      </c>
      <c r="I104" s="84">
        <f t="shared" ref="I104:J108" si="30">F104*$H$19</f>
        <v>428.12651699999992</v>
      </c>
      <c r="J104" s="84">
        <f t="shared" si="30"/>
        <v>0</v>
      </c>
      <c r="K104" s="85">
        <f t="shared" si="5"/>
        <v>731.4135576000001</v>
      </c>
      <c r="L104" s="85">
        <f>'[2]Смета 2019'!$D$175</f>
        <v>731.4135576000001</v>
      </c>
      <c r="M104" s="94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</row>
    <row r="105" spans="1:25" hidden="1">
      <c r="A105" s="74"/>
      <c r="B105" s="112" t="s">
        <v>142</v>
      </c>
      <c r="C105" s="45"/>
      <c r="D105" s="45"/>
      <c r="E105" s="84">
        <f t="shared" si="8"/>
        <v>843.42</v>
      </c>
      <c r="F105" s="45">
        <v>650.9</v>
      </c>
      <c r="G105" s="45">
        <v>192.52</v>
      </c>
      <c r="H105" s="84">
        <f t="shared" ref="H105:H124" si="31">I105+J105</f>
        <v>866.19233999999994</v>
      </c>
      <c r="I105" s="84">
        <f t="shared" si="30"/>
        <v>668.47429999999997</v>
      </c>
      <c r="J105" s="84">
        <f t="shared" si="30"/>
        <v>197.71804</v>
      </c>
      <c r="K105" s="85">
        <f t="shared" si="5"/>
        <v>964.02</v>
      </c>
      <c r="L105" s="85">
        <v>743.97</v>
      </c>
      <c r="M105" s="94">
        <v>220.05</v>
      </c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</row>
    <row r="106" spans="1:25" ht="31.5">
      <c r="A106" s="74" t="s">
        <v>143</v>
      </c>
      <c r="B106" s="92" t="s">
        <v>144</v>
      </c>
      <c r="C106" s="45" t="s">
        <v>47</v>
      </c>
      <c r="D106" s="45"/>
      <c r="E106" s="84">
        <f t="shared" si="8"/>
        <v>0</v>
      </c>
      <c r="F106" s="45"/>
      <c r="G106" s="45"/>
      <c r="H106" s="84">
        <f t="shared" si="31"/>
        <v>0</v>
      </c>
      <c r="I106" s="84">
        <f t="shared" si="30"/>
        <v>0</v>
      </c>
      <c r="J106" s="84">
        <f t="shared" si="30"/>
        <v>0</v>
      </c>
      <c r="K106" s="85">
        <f t="shared" si="5"/>
        <v>0</v>
      </c>
      <c r="L106" s="85"/>
      <c r="M106" s="94"/>
      <c r="N106" s="79" t="s">
        <v>50</v>
      </c>
      <c r="O106" s="79" t="s">
        <v>50</v>
      </c>
      <c r="P106" s="79" t="s">
        <v>50</v>
      </c>
      <c r="Q106" s="79" t="s">
        <v>50</v>
      </c>
      <c r="R106" s="79" t="s">
        <v>50</v>
      </c>
      <c r="S106" s="79" t="s">
        <v>50</v>
      </c>
      <c r="T106" s="79" t="s">
        <v>50</v>
      </c>
      <c r="U106" s="79" t="s">
        <v>50</v>
      </c>
      <c r="V106" s="79" t="s">
        <v>50</v>
      </c>
      <c r="W106" s="79" t="s">
        <v>50</v>
      </c>
      <c r="X106" s="79" t="s">
        <v>50</v>
      </c>
      <c r="Y106" s="79" t="s">
        <v>50</v>
      </c>
    </row>
    <row r="107" spans="1:25" ht="31.5">
      <c r="A107" s="74" t="s">
        <v>145</v>
      </c>
      <c r="B107" s="92" t="s">
        <v>146</v>
      </c>
      <c r="C107" s="45" t="s">
        <v>47</v>
      </c>
      <c r="D107" s="45">
        <v>36.15</v>
      </c>
      <c r="E107" s="84">
        <f t="shared" si="8"/>
        <v>17.18</v>
      </c>
      <c r="F107" s="45">
        <v>17.18</v>
      </c>
      <c r="G107" s="45"/>
      <c r="H107" s="84">
        <f t="shared" si="31"/>
        <v>17.643859999999997</v>
      </c>
      <c r="I107" s="84">
        <f t="shared" si="30"/>
        <v>17.643859999999997</v>
      </c>
      <c r="J107" s="84">
        <f t="shared" si="30"/>
        <v>0</v>
      </c>
      <c r="K107" s="85">
        <f t="shared" si="5"/>
        <v>235.37899999999999</v>
      </c>
      <c r="L107" s="85">
        <v>158.38</v>
      </c>
      <c r="M107" s="94">
        <v>76.998999999999995</v>
      </c>
      <c r="N107" s="79" t="s">
        <v>50</v>
      </c>
      <c r="O107" s="79" t="s">
        <v>50</v>
      </c>
      <c r="P107" s="79" t="s">
        <v>50</v>
      </c>
      <c r="Q107" s="79" t="s">
        <v>50</v>
      </c>
      <c r="R107" s="79" t="s">
        <v>50</v>
      </c>
      <c r="S107" s="79" t="s">
        <v>50</v>
      </c>
      <c r="T107" s="79" t="s">
        <v>50</v>
      </c>
      <c r="U107" s="79" t="s">
        <v>50</v>
      </c>
      <c r="V107" s="79" t="s">
        <v>50</v>
      </c>
      <c r="W107" s="79" t="s">
        <v>50</v>
      </c>
      <c r="X107" s="79" t="s">
        <v>50</v>
      </c>
      <c r="Y107" s="79" t="s">
        <v>50</v>
      </c>
    </row>
    <row r="108" spans="1:25" ht="31.5">
      <c r="A108" s="74" t="s">
        <v>147</v>
      </c>
      <c r="B108" s="92" t="s">
        <v>148</v>
      </c>
      <c r="C108" s="45" t="s">
        <v>47</v>
      </c>
      <c r="D108" s="45"/>
      <c r="E108" s="84">
        <f t="shared" si="8"/>
        <v>0</v>
      </c>
      <c r="F108" s="45"/>
      <c r="G108" s="45"/>
      <c r="H108" s="60">
        <f t="shared" si="31"/>
        <v>0</v>
      </c>
      <c r="I108" s="84">
        <f t="shared" si="30"/>
        <v>0</v>
      </c>
      <c r="J108" s="84">
        <f t="shared" si="30"/>
        <v>0</v>
      </c>
      <c r="K108" s="85">
        <f t="shared" si="5"/>
        <v>0</v>
      </c>
      <c r="L108" s="85"/>
      <c r="M108" s="94"/>
      <c r="N108" s="79" t="s">
        <v>50</v>
      </c>
      <c r="O108" s="79" t="s">
        <v>50</v>
      </c>
      <c r="P108" s="79" t="s">
        <v>50</v>
      </c>
      <c r="Q108" s="79" t="s">
        <v>50</v>
      </c>
      <c r="R108" s="79" t="s">
        <v>50</v>
      </c>
      <c r="S108" s="79" t="s">
        <v>50</v>
      </c>
      <c r="T108" s="79" t="s">
        <v>50</v>
      </c>
      <c r="U108" s="79" t="s">
        <v>50</v>
      </c>
      <c r="V108" s="79" t="s">
        <v>50</v>
      </c>
      <c r="W108" s="79" t="s">
        <v>50</v>
      </c>
      <c r="X108" s="79" t="s">
        <v>50</v>
      </c>
      <c r="Y108" s="79" t="s">
        <v>50</v>
      </c>
    </row>
    <row r="109" spans="1:25" ht="63">
      <c r="A109" s="74" t="s">
        <v>149</v>
      </c>
      <c r="B109" s="92" t="s">
        <v>150</v>
      </c>
      <c r="C109" s="45" t="s">
        <v>47</v>
      </c>
      <c r="D109" s="45">
        <v>12282.27</v>
      </c>
      <c r="E109" s="84">
        <f>F109+G109</f>
        <v>15852.102000000001</v>
      </c>
      <c r="F109" s="84">
        <f>F110+F117+F118</f>
        <v>11309.279</v>
      </c>
      <c r="G109" s="84">
        <f>G110+G117+G118</f>
        <v>4542.8230000000003</v>
      </c>
      <c r="H109" s="84">
        <f t="shared" si="31"/>
        <v>16280.108753999999</v>
      </c>
      <c r="I109" s="84">
        <f>I110+I117+I118</f>
        <v>11614.629532999999</v>
      </c>
      <c r="J109" s="84">
        <f>J110+J117+J118</f>
        <v>4665.4792209999996</v>
      </c>
      <c r="K109" s="85">
        <f>L109+M109</f>
        <v>45863.580599073677</v>
      </c>
      <c r="L109" s="85">
        <f>L110+L117+L118</f>
        <v>26798.449316464463</v>
      </c>
      <c r="M109" s="85">
        <f>M110+M117+M118</f>
        <v>19065.131282609214</v>
      </c>
      <c r="N109" s="79" t="s">
        <v>50</v>
      </c>
      <c r="O109" s="79" t="s">
        <v>50</v>
      </c>
      <c r="P109" s="79" t="s">
        <v>50</v>
      </c>
      <c r="Q109" s="79" t="s">
        <v>50</v>
      </c>
      <c r="R109" s="79" t="s">
        <v>50</v>
      </c>
      <c r="S109" s="79" t="s">
        <v>50</v>
      </c>
      <c r="T109" s="79" t="s">
        <v>50</v>
      </c>
      <c r="U109" s="79" t="s">
        <v>50</v>
      </c>
      <c r="V109" s="79" t="s">
        <v>50</v>
      </c>
      <c r="W109" s="79" t="s">
        <v>50</v>
      </c>
      <c r="X109" s="79" t="s">
        <v>50</v>
      </c>
      <c r="Y109" s="79" t="s">
        <v>50</v>
      </c>
    </row>
    <row r="110" spans="1:25" ht="31.5">
      <c r="A110" s="113" t="s">
        <v>151</v>
      </c>
      <c r="B110" s="92" t="s">
        <v>152</v>
      </c>
      <c r="C110" s="45" t="s">
        <v>47</v>
      </c>
      <c r="D110" s="45"/>
      <c r="E110" s="84">
        <f>F110+G110</f>
        <v>844.66200000000003</v>
      </c>
      <c r="F110" s="45">
        <f>F111+F115+F116</f>
        <v>805.49900000000002</v>
      </c>
      <c r="G110" s="45">
        <f>G111+G115+G116</f>
        <v>39.162999999999997</v>
      </c>
      <c r="H110" s="77">
        <f t="shared" ref="H110:J110" si="32">H111+H115+H116</f>
        <v>867.46787399999994</v>
      </c>
      <c r="I110" s="77">
        <f t="shared" si="32"/>
        <v>827.2474729999999</v>
      </c>
      <c r="J110" s="77">
        <f t="shared" si="32"/>
        <v>40.220400999999995</v>
      </c>
      <c r="K110" s="85">
        <f t="shared" si="5"/>
        <v>1377.2858759000001</v>
      </c>
      <c r="L110" s="85">
        <f>L111+L112+L113+L114+L116+7.4</f>
        <v>1100.4408659000001</v>
      </c>
      <c r="M110" s="85">
        <f>M111+M112+M113+M114+M115+M116</f>
        <v>276.84501</v>
      </c>
      <c r="N110" s="79" t="s">
        <v>50</v>
      </c>
      <c r="O110" s="79" t="s">
        <v>50</v>
      </c>
      <c r="P110" s="79" t="s">
        <v>50</v>
      </c>
      <c r="Q110" s="79" t="s">
        <v>50</v>
      </c>
      <c r="R110" s="79" t="s">
        <v>50</v>
      </c>
      <c r="S110" s="79" t="s">
        <v>50</v>
      </c>
      <c r="T110" s="79" t="s">
        <v>50</v>
      </c>
      <c r="U110" s="79" t="s">
        <v>50</v>
      </c>
      <c r="V110" s="79" t="s">
        <v>50</v>
      </c>
      <c r="W110" s="79" t="s">
        <v>50</v>
      </c>
      <c r="X110" s="79" t="s">
        <v>50</v>
      </c>
      <c r="Y110" s="79" t="s">
        <v>50</v>
      </c>
    </row>
    <row r="111" spans="1:25" hidden="1">
      <c r="A111" s="74"/>
      <c r="B111" s="111" t="s">
        <v>153</v>
      </c>
      <c r="C111" s="45"/>
      <c r="D111" s="45"/>
      <c r="E111" s="84">
        <f>F111+G111</f>
        <v>125.62899999999999</v>
      </c>
      <c r="F111" s="45">
        <v>106.288</v>
      </c>
      <c r="G111" s="45">
        <v>19.341000000000001</v>
      </c>
      <c r="H111" s="84">
        <f t="shared" si="31"/>
        <v>129.02098299999997</v>
      </c>
      <c r="I111" s="84">
        <f t="shared" ref="I111:J117" si="33">F111*$H$19</f>
        <v>109.15777599999998</v>
      </c>
      <c r="J111" s="84">
        <f t="shared" si="33"/>
        <v>19.863206999999999</v>
      </c>
      <c r="K111" s="85">
        <f t="shared" si="5"/>
        <v>210.40498590000001</v>
      </c>
      <c r="L111" s="85">
        <f>'[2]Смета 2019'!$D$176+'[2]Смета 2019'!$H$176*0.77174</f>
        <v>146.63698590000001</v>
      </c>
      <c r="M111" s="94">
        <v>63.768000000000001</v>
      </c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</row>
    <row r="112" spans="1:25" ht="30" hidden="1">
      <c r="A112" s="74"/>
      <c r="B112" s="111" t="s">
        <v>154</v>
      </c>
      <c r="C112" s="45"/>
      <c r="D112" s="45"/>
      <c r="E112" s="84"/>
      <c r="F112" s="45"/>
      <c r="G112" s="45"/>
      <c r="H112" s="84"/>
      <c r="I112" s="84"/>
      <c r="J112" s="84"/>
      <c r="K112" s="85">
        <f t="shared" si="5"/>
        <v>65.858249999999998</v>
      </c>
      <c r="L112" s="85">
        <f>'[2]Смета 2019'!$D$177</f>
        <v>65.858249999999998</v>
      </c>
      <c r="M112" s="94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</row>
    <row r="113" spans="1:25" ht="75" hidden="1">
      <c r="A113" s="74"/>
      <c r="B113" s="111" t="s">
        <v>155</v>
      </c>
      <c r="C113" s="45"/>
      <c r="D113" s="45"/>
      <c r="E113" s="84"/>
      <c r="F113" s="45"/>
      <c r="G113" s="45"/>
      <c r="H113" s="84"/>
      <c r="I113" s="84"/>
      <c r="J113" s="84"/>
      <c r="K113" s="85">
        <f t="shared" si="5"/>
        <v>170.28892999999999</v>
      </c>
      <c r="L113" s="85">
        <f>'[2]Смета 2019'!$D$179</f>
        <v>170.28892999999999</v>
      </c>
      <c r="M113" s="94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</row>
    <row r="114" spans="1:25" hidden="1">
      <c r="A114" s="74"/>
      <c r="B114" s="111"/>
      <c r="C114" s="45"/>
      <c r="D114" s="45"/>
      <c r="E114" s="84"/>
      <c r="F114" s="45"/>
      <c r="G114" s="45"/>
      <c r="H114" s="84"/>
      <c r="I114" s="84"/>
      <c r="J114" s="84"/>
      <c r="K114" s="85">
        <f t="shared" si="5"/>
        <v>0</v>
      </c>
      <c r="L114" s="85"/>
      <c r="M114" s="94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</row>
    <row r="115" spans="1:25" ht="30" hidden="1">
      <c r="A115" s="74"/>
      <c r="B115" s="111" t="s">
        <v>156</v>
      </c>
      <c r="C115" s="45"/>
      <c r="D115" s="45"/>
      <c r="E115" s="84">
        <f>F115+G115</f>
        <v>6.7</v>
      </c>
      <c r="F115" s="45">
        <v>6.7</v>
      </c>
      <c r="G115" s="45"/>
      <c r="H115" s="84">
        <f t="shared" si="31"/>
        <v>6.8808999999999996</v>
      </c>
      <c r="I115" s="84">
        <f t="shared" si="33"/>
        <v>6.8808999999999996</v>
      </c>
      <c r="J115" s="84">
        <f t="shared" si="33"/>
        <v>0</v>
      </c>
      <c r="K115" s="85"/>
      <c r="M115" s="94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</row>
    <row r="116" spans="1:25" ht="30.75" hidden="1">
      <c r="A116" s="74"/>
      <c r="B116" s="114" t="s">
        <v>157</v>
      </c>
      <c r="C116" s="45"/>
      <c r="D116" s="45"/>
      <c r="E116" s="84">
        <f>F116+G116</f>
        <v>712.33299999999997</v>
      </c>
      <c r="F116" s="45">
        <v>692.51099999999997</v>
      </c>
      <c r="G116" s="45">
        <v>19.821999999999999</v>
      </c>
      <c r="H116" s="84">
        <f t="shared" si="31"/>
        <v>731.56599099999994</v>
      </c>
      <c r="I116" s="84">
        <f t="shared" si="33"/>
        <v>711.20879699999989</v>
      </c>
      <c r="J116" s="84">
        <f t="shared" si="33"/>
        <v>20.357193999999996</v>
      </c>
      <c r="K116" s="85">
        <f t="shared" si="5"/>
        <v>923.33371</v>
      </c>
      <c r="L116" s="85">
        <f>'[2]Смета 2019'!$D$181</f>
        <v>710.25670000000002</v>
      </c>
      <c r="M116" s="94">
        <f>'[2]Смета 2019'!$F$182</f>
        <v>213.07701</v>
      </c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</row>
    <row r="117" spans="1:25" ht="31.5">
      <c r="A117" s="51" t="s">
        <v>158</v>
      </c>
      <c r="B117" s="92" t="s">
        <v>159</v>
      </c>
      <c r="C117" s="45" t="s">
        <v>47</v>
      </c>
      <c r="D117" s="45"/>
      <c r="E117" s="84">
        <f t="shared" si="8"/>
        <v>163.69999999999999</v>
      </c>
      <c r="F117" s="45">
        <v>126.33</v>
      </c>
      <c r="G117" s="45">
        <v>37.369999999999997</v>
      </c>
      <c r="H117" s="84">
        <f t="shared" si="31"/>
        <v>168.11989999999997</v>
      </c>
      <c r="I117" s="84">
        <f t="shared" si="33"/>
        <v>129.74090999999999</v>
      </c>
      <c r="J117" s="84">
        <f t="shared" si="33"/>
        <v>38.378989999999995</v>
      </c>
      <c r="K117" s="85">
        <f t="shared" si="5"/>
        <v>110.667</v>
      </c>
      <c r="L117" s="85">
        <v>85.406000000000006</v>
      </c>
      <c r="M117" s="94">
        <v>25.260999999999999</v>
      </c>
      <c r="N117" s="79" t="s">
        <v>50</v>
      </c>
      <c r="O117" s="79" t="s">
        <v>50</v>
      </c>
      <c r="P117" s="79" t="s">
        <v>50</v>
      </c>
      <c r="Q117" s="79" t="s">
        <v>50</v>
      </c>
      <c r="R117" s="79" t="s">
        <v>50</v>
      </c>
      <c r="S117" s="79" t="s">
        <v>50</v>
      </c>
      <c r="T117" s="79" t="s">
        <v>50</v>
      </c>
      <c r="U117" s="79" t="s">
        <v>50</v>
      </c>
      <c r="V117" s="79" t="s">
        <v>50</v>
      </c>
      <c r="W117" s="79" t="s">
        <v>50</v>
      </c>
      <c r="X117" s="79" t="s">
        <v>50</v>
      </c>
      <c r="Y117" s="79" t="s">
        <v>50</v>
      </c>
    </row>
    <row r="118" spans="1:25">
      <c r="A118" s="113" t="s">
        <v>160</v>
      </c>
      <c r="B118" s="92" t="s">
        <v>140</v>
      </c>
      <c r="C118" s="45" t="s">
        <v>47</v>
      </c>
      <c r="D118" s="45"/>
      <c r="E118" s="84">
        <f t="shared" si="8"/>
        <v>14843.740000000002</v>
      </c>
      <c r="F118" s="45">
        <f>F121+F122+F123+F124</f>
        <v>10377.450000000001</v>
      </c>
      <c r="G118" s="45">
        <f>G121+G122+G123+G124</f>
        <v>4466.29</v>
      </c>
      <c r="H118" s="77">
        <f>H121+H122+H123+H124</f>
        <v>15244.520979999999</v>
      </c>
      <c r="I118" s="77">
        <f>I121+I122+I123+I124</f>
        <v>10657.641149999999</v>
      </c>
      <c r="J118" s="77">
        <f>J121+J122+J123+J124</f>
        <v>4586.8798299999999</v>
      </c>
      <c r="K118" s="85">
        <f t="shared" si="5"/>
        <v>44375.627723173675</v>
      </c>
      <c r="L118" s="85">
        <f>L119+L121+L122+L123+L124+L120</f>
        <v>25612.602450564464</v>
      </c>
      <c r="M118" s="85">
        <f>M119+M121+M122+M123+M124+M120</f>
        <v>18763.025272609215</v>
      </c>
      <c r="N118" s="79" t="s">
        <v>50</v>
      </c>
      <c r="O118" s="79" t="s">
        <v>50</v>
      </c>
      <c r="P118" s="79" t="s">
        <v>50</v>
      </c>
      <c r="Q118" s="79" t="s">
        <v>50</v>
      </c>
      <c r="R118" s="79" t="s">
        <v>50</v>
      </c>
      <c r="S118" s="79" t="s">
        <v>50</v>
      </c>
      <c r="T118" s="79" t="s">
        <v>50</v>
      </c>
      <c r="U118" s="79" t="s">
        <v>50</v>
      </c>
      <c r="V118" s="79" t="s">
        <v>50</v>
      </c>
      <c r="W118" s="79" t="s">
        <v>50</v>
      </c>
      <c r="X118" s="79" t="s">
        <v>50</v>
      </c>
      <c r="Y118" s="79" t="s">
        <v>50</v>
      </c>
    </row>
    <row r="119" spans="1:25" ht="110.25">
      <c r="A119" s="113"/>
      <c r="B119" s="92" t="s">
        <v>161</v>
      </c>
      <c r="C119" s="45"/>
      <c r="D119" s="45"/>
      <c r="E119" s="84"/>
      <c r="F119" s="45"/>
      <c r="G119" s="45"/>
      <c r="H119" s="77"/>
      <c r="I119" s="77"/>
      <c r="J119" s="77"/>
      <c r="K119" s="85">
        <f t="shared" si="5"/>
        <v>133.30000000000001</v>
      </c>
      <c r="L119" s="85">
        <f>'[2]Смета 2019'!$D$184</f>
        <v>44.433333333333337</v>
      </c>
      <c r="M119" s="94">
        <f>'[2]Смета 2019'!$E$184+'[2]Смета 2019'!$F$184</f>
        <v>88.866666666666674</v>
      </c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</row>
    <row r="120" spans="1:25">
      <c r="A120" s="113"/>
      <c r="B120" s="92" t="s">
        <v>162</v>
      </c>
      <c r="C120" s="45"/>
      <c r="D120" s="45"/>
      <c r="E120" s="84"/>
      <c r="F120" s="45"/>
      <c r="G120" s="45"/>
      <c r="H120" s="77"/>
      <c r="I120" s="77"/>
      <c r="J120" s="77"/>
      <c r="K120" s="85">
        <f t="shared" si="5"/>
        <v>2557.5961106666664</v>
      </c>
      <c r="L120" s="85">
        <f>'[2]Смета 2019'!$D$200</f>
        <v>750.60056000000009</v>
      </c>
      <c r="M120" s="94">
        <f>'[2]Смета 2019'!$E$200+'[2]Смета 2019'!$F$200</f>
        <v>1806.9955506666665</v>
      </c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</row>
    <row r="121" spans="1:25" hidden="1">
      <c r="A121" s="113"/>
      <c r="B121" s="115" t="s">
        <v>163</v>
      </c>
      <c r="C121" s="45"/>
      <c r="D121" s="45"/>
      <c r="E121" s="84">
        <f t="shared" si="8"/>
        <v>50.330000000000005</v>
      </c>
      <c r="F121" s="45">
        <v>37.520000000000003</v>
      </c>
      <c r="G121" s="45">
        <v>12.81</v>
      </c>
      <c r="H121" s="84">
        <f t="shared" si="31"/>
        <v>51.68891</v>
      </c>
      <c r="I121" s="84">
        <f t="shared" ref="I121:J124" si="34">F121*$H$19</f>
        <v>38.53304</v>
      </c>
      <c r="J121" s="84">
        <f t="shared" si="34"/>
        <v>13.15587</v>
      </c>
      <c r="K121" s="85">
        <f t="shared" si="5"/>
        <v>0</v>
      </c>
      <c r="L121" s="85"/>
      <c r="M121" s="94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</row>
    <row r="122" spans="1:25" ht="30" hidden="1">
      <c r="A122" s="113"/>
      <c r="B122" s="116" t="s">
        <v>164</v>
      </c>
      <c r="C122" s="45"/>
      <c r="D122" s="45"/>
      <c r="E122" s="84">
        <f t="shared" si="8"/>
        <v>3693.33</v>
      </c>
      <c r="F122" s="45">
        <v>2581.4699999999998</v>
      </c>
      <c r="G122" s="45">
        <v>1111.8599999999999</v>
      </c>
      <c r="H122" s="84">
        <f t="shared" si="31"/>
        <v>3793.0499099999997</v>
      </c>
      <c r="I122" s="84">
        <f t="shared" si="34"/>
        <v>2651.1696899999997</v>
      </c>
      <c r="J122" s="84">
        <f t="shared" si="34"/>
        <v>1141.8802199999998</v>
      </c>
      <c r="K122" s="85">
        <f t="shared" si="5"/>
        <v>7282.9183773221512</v>
      </c>
      <c r="L122" s="85">
        <f>'[2]Смета 2019'!$D$287+'[2]Смета 2019'!$D$304</f>
        <v>5380.48968461403</v>
      </c>
      <c r="M122" s="94">
        <f>'[2]Смета 2019'!$E$287+'[2]Смета 2019'!$F$287+'[2]Смета 2019'!$E$304+'[2]Смета 2019'!$F$304</f>
        <v>1902.4286927081212</v>
      </c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</row>
    <row r="123" spans="1:25" ht="30" hidden="1">
      <c r="A123" s="113"/>
      <c r="B123" s="116" t="s">
        <v>165</v>
      </c>
      <c r="C123" s="45"/>
      <c r="D123" s="45"/>
      <c r="E123" s="84">
        <f t="shared" si="8"/>
        <v>5925.1</v>
      </c>
      <c r="F123" s="45">
        <v>4141.38</v>
      </c>
      <c r="G123" s="45">
        <v>1783.72</v>
      </c>
      <c r="H123" s="84">
        <f t="shared" si="31"/>
        <v>6085.0776999999998</v>
      </c>
      <c r="I123" s="84">
        <f t="shared" si="34"/>
        <v>4253.1972599999999</v>
      </c>
      <c r="J123" s="84">
        <f t="shared" si="34"/>
        <v>1831.8804399999999</v>
      </c>
      <c r="K123" s="85">
        <f t="shared" si="5"/>
        <v>11617.903235184864</v>
      </c>
      <c r="L123" s="85">
        <f>'[2]Смета 2019'!$D$288+'[2]Смета 2019'!$D$305</f>
        <v>8583.0988726171017</v>
      </c>
      <c r="M123" s="94">
        <f>'[2]Смета 2019'!$E$288+'[2]Смета 2019'!$F$288+'[2]Смета 2019'!$E$305+'[2]Смета 2019'!$F$305</f>
        <v>3034.8043625677624</v>
      </c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</row>
    <row r="124" spans="1:25" ht="28.5" hidden="1">
      <c r="A124" s="113"/>
      <c r="B124" s="117" t="s">
        <v>166</v>
      </c>
      <c r="C124" s="45"/>
      <c r="D124" s="45"/>
      <c r="E124" s="84">
        <f t="shared" si="8"/>
        <v>5174.9799999999996</v>
      </c>
      <c r="F124" s="45">
        <v>3617.08</v>
      </c>
      <c r="G124" s="45">
        <v>1557.9</v>
      </c>
      <c r="H124" s="84">
        <f t="shared" si="31"/>
        <v>5314.704459999999</v>
      </c>
      <c r="I124" s="84">
        <f t="shared" si="34"/>
        <v>3714.7411599999996</v>
      </c>
      <c r="J124" s="84">
        <f t="shared" si="34"/>
        <v>1599.9632999999999</v>
      </c>
      <c r="K124" s="85">
        <f t="shared" si="5"/>
        <v>22783.91</v>
      </c>
      <c r="L124" s="118">
        <v>10853.98</v>
      </c>
      <c r="M124" s="119">
        <v>11929.93</v>
      </c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</row>
    <row r="141" spans="11:13">
      <c r="K141" s="122"/>
      <c r="L141" s="122"/>
      <c r="M141" s="122"/>
    </row>
    <row r="143" spans="11:13">
      <c r="L143" s="122"/>
      <c r="M143" s="122"/>
    </row>
    <row r="145" spans="11:13">
      <c r="K145" s="122"/>
      <c r="L145" s="122"/>
      <c r="M145" s="122"/>
    </row>
    <row r="146" spans="11:13">
      <c r="K146" s="122"/>
      <c r="L146" s="122"/>
      <c r="M146" s="122"/>
    </row>
  </sheetData>
  <mergeCells count="44">
    <mergeCell ref="A10:Y10"/>
    <mergeCell ref="A20:Y20"/>
    <mergeCell ref="T7:T8"/>
    <mergeCell ref="U7:U8"/>
    <mergeCell ref="V7:V8"/>
    <mergeCell ref="W7:W8"/>
    <mergeCell ref="X7:X8"/>
    <mergeCell ref="Y7:Y8"/>
    <mergeCell ref="N7:N8"/>
    <mergeCell ref="O7:O8"/>
    <mergeCell ref="P7:P8"/>
    <mergeCell ref="Q7:Q8"/>
    <mergeCell ref="R7:R8"/>
    <mergeCell ref="S7:S8"/>
    <mergeCell ref="W5:Y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Q4:S4"/>
    <mergeCell ref="T4:V4"/>
    <mergeCell ref="W4:Y4"/>
    <mergeCell ref="D5:D8"/>
    <mergeCell ref="E5:G6"/>
    <mergeCell ref="H5:J6"/>
    <mergeCell ref="K5:M6"/>
    <mergeCell ref="N5:P6"/>
    <mergeCell ref="Q5:S6"/>
    <mergeCell ref="T5:V6"/>
    <mergeCell ref="X1:Y1"/>
    <mergeCell ref="X2:Y2"/>
    <mergeCell ref="A3:S3"/>
    <mergeCell ref="A4:A8"/>
    <mergeCell ref="B4:B8"/>
    <mergeCell ref="C4:C8"/>
    <mergeCell ref="D4:G4"/>
    <mergeCell ref="H4:J4"/>
    <mergeCell ref="K4:M4"/>
    <mergeCell ref="N4:P4"/>
  </mergeCells>
  <pageMargins left="3.937007874015748E-2" right="3.937007874015748E-2" top="3.937007874015748E-2" bottom="3.937007874015748E-2" header="0.31496062992125984" footer="0.31496062992125984"/>
  <pageSetup paperSize="9" scale="35" fitToHeight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кол-во активов</vt:lpstr>
      <vt:lpstr>базовый уровень ОР</vt:lpstr>
      <vt:lpstr>Лист1</vt:lpstr>
      <vt:lpstr>Лист2</vt:lpstr>
      <vt:lpstr>Лист3</vt:lpstr>
      <vt:lpstr>'базовый уровень ОР'!Область_печати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2018-05-08T08:43:44Z</dcterms:modified>
</cp:coreProperties>
</file>